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0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maram\OneDrive\00. UNI OF SOUTHAMPTON\Urea addition paper\DATA SET\"/>
    </mc:Choice>
  </mc:AlternateContent>
  <xr:revisionPtr revIDLastSave="0" documentId="13_ncr:1_{E3D0323E-7BA2-4718-A763-ED7730C8FCEC}" xr6:coauthVersionLast="47" xr6:coauthVersionMax="47" xr10:uidLastSave="{00000000-0000-0000-0000-000000000000}"/>
  <bookViews>
    <workbookView xWindow="-120" yWindow="-120" windowWidth="29040" windowHeight="15720" tabRatio="873" activeTab="1" xr2:uid="{00000000-000D-0000-FFFF-FFFF00000000}"/>
  </bookViews>
  <sheets>
    <sheet name="setup" sheetId="1" r:id="rId1"/>
    <sheet name="pH " sheetId="3" r:id="rId2"/>
    <sheet name="mass balance" sheetId="4" r:id="rId3"/>
    <sheet name="alkalinity" sheetId="5" r:id="rId4"/>
    <sheet name="TS VS" sheetId="16" r:id="rId5"/>
    <sheet name="VFA summary" sheetId="6" r:id="rId6"/>
    <sheet name="VFA day 2" sheetId="8" r:id="rId7"/>
    <sheet name="VFA day 4" sheetId="10" r:id="rId8"/>
    <sheet name="VFA day 6" sheetId="12" r:id="rId9"/>
    <sheet name="VFA day 8" sheetId="14" r:id="rId10"/>
    <sheet name="TOC std day 4" sheetId="20" r:id="rId11"/>
    <sheet name="TOC day 4" sheetId="19" r:id="rId12"/>
    <sheet name="TOC std day 8" sheetId="17" r:id="rId13"/>
    <sheet name="TOC day 8" sheetId="18" r:id="rId14"/>
  </sheets>
  <externalReferences>
    <externalReference r:id="rId15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7" i="6" l="1"/>
  <c r="I4" i="1"/>
  <c r="G9" i="1"/>
  <c r="L9" i="1"/>
  <c r="C9" i="1"/>
  <c r="D9" i="1"/>
  <c r="D5" i="1"/>
  <c r="D6" i="1"/>
  <c r="C10" i="1"/>
  <c r="D10" i="1" s="1"/>
  <c r="P5" i="18" l="1"/>
  <c r="O5" i="18"/>
  <c r="N52" i="6" l="1"/>
  <c r="N51" i="6"/>
  <c r="N50" i="6"/>
  <c r="N49" i="6"/>
  <c r="N48" i="6"/>
  <c r="N47" i="6"/>
  <c r="M52" i="6"/>
  <c r="M51" i="6"/>
  <c r="M50" i="6"/>
  <c r="M49" i="6"/>
  <c r="M48" i="6"/>
  <c r="M47" i="6"/>
  <c r="L52" i="6"/>
  <c r="L51" i="6"/>
  <c r="L50" i="6"/>
  <c r="L49" i="6"/>
  <c r="L48" i="6"/>
  <c r="L47" i="6"/>
  <c r="O52" i="6"/>
  <c r="O51" i="6"/>
  <c r="O50" i="6"/>
  <c r="O49" i="6"/>
  <c r="O48" i="6"/>
  <c r="O47" i="6"/>
  <c r="L20" i="6"/>
  <c r="T5" i="6"/>
  <c r="U5" i="6"/>
  <c r="V5" i="6"/>
  <c r="W5" i="6"/>
  <c r="X5" i="6"/>
  <c r="Y5" i="6"/>
  <c r="Z5" i="6"/>
  <c r="AA5" i="6"/>
  <c r="AB5" i="6"/>
  <c r="AC5" i="6"/>
  <c r="T6" i="6"/>
  <c r="AG6" i="6" s="1"/>
  <c r="U6" i="6"/>
  <c r="V6" i="6"/>
  <c r="W6" i="6"/>
  <c r="X6" i="6"/>
  <c r="Y6" i="6"/>
  <c r="Z6" i="6"/>
  <c r="AA6" i="6"/>
  <c r="AB6" i="6"/>
  <c r="AC6" i="6"/>
  <c r="T7" i="6"/>
  <c r="U7" i="6"/>
  <c r="V7" i="6"/>
  <c r="W7" i="6"/>
  <c r="X7" i="6"/>
  <c r="Y7" i="6"/>
  <c r="Z7" i="6"/>
  <c r="AA7" i="6"/>
  <c r="AB7" i="6"/>
  <c r="AC7" i="6"/>
  <c r="T8" i="6"/>
  <c r="U8" i="6"/>
  <c r="V8" i="6"/>
  <c r="W8" i="6"/>
  <c r="X8" i="6"/>
  <c r="Y8" i="6"/>
  <c r="Z8" i="6"/>
  <c r="AA8" i="6"/>
  <c r="AB8" i="6"/>
  <c r="AK8" i="6" s="1"/>
  <c r="AC8" i="6"/>
  <c r="T9" i="6"/>
  <c r="U9" i="6"/>
  <c r="V9" i="6"/>
  <c r="W9" i="6"/>
  <c r="X9" i="6"/>
  <c r="AI9" i="6" s="1"/>
  <c r="Y9" i="6"/>
  <c r="Z9" i="6"/>
  <c r="AA9" i="6"/>
  <c r="AA21" i="6" s="1"/>
  <c r="AB9" i="6"/>
  <c r="AC9" i="6"/>
  <c r="T10" i="6"/>
  <c r="U10" i="6"/>
  <c r="V10" i="6"/>
  <c r="W10" i="6"/>
  <c r="X10" i="6"/>
  <c r="Y10" i="6"/>
  <c r="Z10" i="6"/>
  <c r="AA10" i="6"/>
  <c r="AA22" i="6" s="1"/>
  <c r="AB10" i="6"/>
  <c r="AC10" i="6"/>
  <c r="T11" i="6"/>
  <c r="AG11" i="6" s="1"/>
  <c r="U11" i="6"/>
  <c r="V11" i="6"/>
  <c r="W11" i="6"/>
  <c r="X11" i="6"/>
  <c r="Y11" i="6"/>
  <c r="Z11" i="6"/>
  <c r="AA11" i="6"/>
  <c r="AB11" i="6"/>
  <c r="AC11" i="6"/>
  <c r="T12" i="6"/>
  <c r="T18" i="6" s="1"/>
  <c r="U12" i="6"/>
  <c r="V12" i="6"/>
  <c r="W12" i="6"/>
  <c r="X12" i="6"/>
  <c r="Y12" i="6"/>
  <c r="Z12" i="6"/>
  <c r="AA12" i="6"/>
  <c r="AB12" i="6"/>
  <c r="AC12" i="6"/>
  <c r="AC4" i="6"/>
  <c r="AB4" i="6"/>
  <c r="AS4" i="6" s="1"/>
  <c r="AA4" i="6"/>
  <c r="Z4" i="6"/>
  <c r="AR4" i="6" s="1"/>
  <c r="Y4" i="6"/>
  <c r="X4" i="6"/>
  <c r="AQ4" i="6" s="1"/>
  <c r="W4" i="6"/>
  <c r="V4" i="6"/>
  <c r="U4" i="6"/>
  <c r="T4" i="6"/>
  <c r="AG4" i="6" s="1"/>
  <c r="S5" i="6"/>
  <c r="S6" i="6"/>
  <c r="S7" i="6"/>
  <c r="S8" i="6"/>
  <c r="S9" i="6"/>
  <c r="S10" i="6"/>
  <c r="S11" i="6"/>
  <c r="S12" i="6"/>
  <c r="S4" i="6"/>
  <c r="R12" i="6"/>
  <c r="R5" i="6"/>
  <c r="R6" i="6"/>
  <c r="AN6" i="6" s="1"/>
  <c r="R7" i="6"/>
  <c r="AF7" i="6" s="1"/>
  <c r="R8" i="6"/>
  <c r="R9" i="6"/>
  <c r="R10" i="6"/>
  <c r="AN10" i="6" s="1"/>
  <c r="R11" i="6"/>
  <c r="R4" i="6"/>
  <c r="C47" i="6"/>
  <c r="C20" i="6"/>
  <c r="H13" i="19"/>
  <c r="AC17" i="6" l="1"/>
  <c r="AK7" i="6"/>
  <c r="U18" i="6"/>
  <c r="AH8" i="6"/>
  <c r="AH6" i="6"/>
  <c r="AK10" i="6"/>
  <c r="W16" i="6"/>
  <c r="T19" i="6"/>
  <c r="AI11" i="6"/>
  <c r="AJ6" i="6"/>
  <c r="AH11" i="6"/>
  <c r="AG8" i="6"/>
  <c r="S18" i="6"/>
  <c r="AF11" i="6"/>
  <c r="Y19" i="6"/>
  <c r="V19" i="6"/>
  <c r="AF9" i="6"/>
  <c r="U16" i="6"/>
  <c r="AG9" i="6"/>
  <c r="AQ7" i="6"/>
  <c r="AS5" i="6"/>
  <c r="AP4" i="6"/>
  <c r="W19" i="6"/>
  <c r="AJ5" i="6"/>
  <c r="AC23" i="6"/>
  <c r="W22" i="6"/>
  <c r="AG7" i="6"/>
  <c r="AI5" i="6"/>
  <c r="R19" i="6"/>
  <c r="AA23" i="6"/>
  <c r="W17" i="6"/>
  <c r="AH17" i="6" s="1"/>
  <c r="S16" i="6"/>
  <c r="AI8" i="6"/>
  <c r="U22" i="6"/>
  <c r="S23" i="6"/>
  <c r="R16" i="6"/>
  <c r="W21" i="6"/>
  <c r="AA19" i="6"/>
  <c r="AK5" i="6"/>
  <c r="AC22" i="6"/>
  <c r="AH9" i="6"/>
  <c r="R17" i="6"/>
  <c r="AN5" i="6"/>
  <c r="AB23" i="6"/>
  <c r="AK23" i="6" s="1"/>
  <c r="AS11" i="6"/>
  <c r="V22" i="6"/>
  <c r="AP10" i="6"/>
  <c r="AR8" i="6"/>
  <c r="AO7" i="6"/>
  <c r="X17" i="6"/>
  <c r="AQ5" i="6"/>
  <c r="U19" i="6"/>
  <c r="Z23" i="6"/>
  <c r="AR11" i="6"/>
  <c r="AO10" i="6"/>
  <c r="AQ8" i="6"/>
  <c r="AS6" i="6"/>
  <c r="V17" i="6"/>
  <c r="AP5" i="6"/>
  <c r="AF6" i="6"/>
  <c r="AJ8" i="6"/>
  <c r="AS9" i="6"/>
  <c r="AQ11" i="6"/>
  <c r="AO5" i="6"/>
  <c r="S22" i="6"/>
  <c r="U20" i="6"/>
  <c r="Y18" i="6"/>
  <c r="AI6" i="6"/>
  <c r="AK11" i="6"/>
  <c r="S21" i="6"/>
  <c r="AB16" i="6"/>
  <c r="V23" i="6"/>
  <c r="AP11" i="6"/>
  <c r="Z21" i="6"/>
  <c r="AJ21" i="6" s="1"/>
  <c r="AR9" i="6"/>
  <c r="T20" i="6"/>
  <c r="AO8" i="6"/>
  <c r="X18" i="6"/>
  <c r="AQ6" i="6"/>
  <c r="Y23" i="6"/>
  <c r="R18" i="6"/>
  <c r="AR6" i="6"/>
  <c r="AA20" i="6"/>
  <c r="Y21" i="6"/>
  <c r="AC19" i="6"/>
  <c r="W18" i="6"/>
  <c r="X23" i="6"/>
  <c r="AK6" i="6"/>
  <c r="AP8" i="6"/>
  <c r="AJ11" i="6"/>
  <c r="W23" i="6"/>
  <c r="S20" i="6"/>
  <c r="U23" i="6"/>
  <c r="S19" i="6"/>
  <c r="Z20" i="6"/>
  <c r="AJ20" i="6" s="1"/>
  <c r="T23" i="6"/>
  <c r="AO11" i="6"/>
  <c r="X21" i="6"/>
  <c r="AI21" i="6" s="1"/>
  <c r="AQ9" i="6"/>
  <c r="AB19" i="6"/>
  <c r="AS7" i="6"/>
  <c r="V18" i="6"/>
  <c r="AP6" i="6"/>
  <c r="AH4" i="6"/>
  <c r="AJ9" i="6"/>
  <c r="AI4" i="6"/>
  <c r="AK9" i="6"/>
  <c r="R23" i="6"/>
  <c r="AN11" i="6"/>
  <c r="S17" i="6"/>
  <c r="AF17" i="6" s="1"/>
  <c r="X20" i="6"/>
  <c r="AB22" i="6"/>
  <c r="AK22" i="6" s="1"/>
  <c r="AS10" i="6"/>
  <c r="V21" i="6"/>
  <c r="AP9" i="6"/>
  <c r="Z19" i="6"/>
  <c r="AR7" i="6"/>
  <c r="AO6" i="6"/>
  <c r="T22" i="6"/>
  <c r="AJ4" i="6"/>
  <c r="AH7" i="6"/>
  <c r="AF10" i="6"/>
  <c r="Y17" i="6"/>
  <c r="T16" i="6"/>
  <c r="AO4" i="6"/>
  <c r="U21" i="6"/>
  <c r="AG21" i="6" s="1"/>
  <c r="R22" i="6"/>
  <c r="AK4" i="6"/>
  <c r="AI7" i="6"/>
  <c r="AG10" i="6"/>
  <c r="AF4" i="6"/>
  <c r="AN4" i="6"/>
  <c r="V20" i="6"/>
  <c r="AH20" i="6" s="1"/>
  <c r="Z22" i="6"/>
  <c r="AR10" i="6"/>
  <c r="T21" i="6"/>
  <c r="AO9" i="6"/>
  <c r="AF5" i="6"/>
  <c r="AJ7" i="6"/>
  <c r="AH10" i="6"/>
  <c r="R21" i="6"/>
  <c r="AF21" i="6" s="1"/>
  <c r="AN9" i="6"/>
  <c r="R20" i="6"/>
  <c r="AF20" i="6" s="1"/>
  <c r="AN8" i="6"/>
  <c r="U17" i="6"/>
  <c r="Y22" i="6"/>
  <c r="X19" i="6"/>
  <c r="AI19" i="6" s="1"/>
  <c r="AG5" i="6"/>
  <c r="AI10" i="6"/>
  <c r="AN7" i="6"/>
  <c r="T17" i="6"/>
  <c r="X22" i="6"/>
  <c r="AQ10" i="6"/>
  <c r="AS8" i="6"/>
  <c r="AP7" i="6"/>
  <c r="AR5" i="6"/>
  <c r="AH5" i="6"/>
  <c r="AF8" i="6"/>
  <c r="AJ10" i="6"/>
  <c r="Y16" i="6"/>
  <c r="Z17" i="6"/>
  <c r="AB20" i="6"/>
  <c r="Y20" i="6"/>
  <c r="X16" i="6"/>
  <c r="AC21" i="6"/>
  <c r="AB21" i="6"/>
  <c r="W20" i="6"/>
  <c r="AB18" i="6"/>
  <c r="AB17" i="6"/>
  <c r="AA17" i="6"/>
  <c r="AC18" i="6"/>
  <c r="AA18" i="6"/>
  <c r="AA16" i="6"/>
  <c r="AC16" i="6"/>
  <c r="Z18" i="6"/>
  <c r="Z16" i="6"/>
  <c r="V16" i="6"/>
  <c r="AC20" i="6"/>
  <c r="O16" i="19"/>
  <c r="O15" i="19"/>
  <c r="O14" i="19"/>
  <c r="O9" i="19"/>
  <c r="O7" i="19"/>
  <c r="O5" i="19"/>
  <c r="B34" i="20"/>
  <c r="B33" i="20"/>
  <c r="A18" i="20"/>
  <c r="D17" i="20"/>
  <c r="A17" i="20"/>
  <c r="A15" i="20"/>
  <c r="A13" i="20"/>
  <c r="A12" i="20"/>
  <c r="D11" i="20"/>
  <c r="D10" i="20"/>
  <c r="A10" i="20"/>
  <c r="A9" i="20"/>
  <c r="A8" i="20"/>
  <c r="G3" i="20"/>
  <c r="D16" i="20" s="1"/>
  <c r="C3" i="20"/>
  <c r="A16" i="20" s="1"/>
  <c r="D32" i="19"/>
  <c r="D31" i="19"/>
  <c r="D30" i="19"/>
  <c r="D29" i="19"/>
  <c r="D28" i="19"/>
  <c r="D27" i="19"/>
  <c r="F27" i="19" s="1"/>
  <c r="D26" i="19"/>
  <c r="F25" i="19" s="1"/>
  <c r="D25" i="19"/>
  <c r="D24" i="19"/>
  <c r="D23" i="19"/>
  <c r="D22" i="19"/>
  <c r="E21" i="19"/>
  <c r="D21" i="19"/>
  <c r="F21" i="19" s="1"/>
  <c r="O13" i="19"/>
  <c r="O12" i="19"/>
  <c r="O11" i="19"/>
  <c r="O10" i="19"/>
  <c r="O8" i="19"/>
  <c r="O6" i="19"/>
  <c r="Y16" i="16"/>
  <c r="X16" i="16"/>
  <c r="Y15" i="16"/>
  <c r="X15" i="16"/>
  <c r="Y14" i="16"/>
  <c r="Z14" i="16" s="1"/>
  <c r="X14" i="16"/>
  <c r="Y13" i="16"/>
  <c r="X13" i="16"/>
  <c r="Y12" i="16"/>
  <c r="X12" i="16"/>
  <c r="Y11" i="16"/>
  <c r="X11" i="16"/>
  <c r="Y10" i="16"/>
  <c r="X10" i="16"/>
  <c r="Y9" i="16"/>
  <c r="X9" i="16"/>
  <c r="Y8" i="16"/>
  <c r="X8" i="16"/>
  <c r="Y7" i="16"/>
  <c r="X7" i="16"/>
  <c r="Y6" i="16"/>
  <c r="X6" i="16"/>
  <c r="Y5" i="16"/>
  <c r="X5" i="16"/>
  <c r="O112" i="5"/>
  <c r="O113" i="5"/>
  <c r="O114" i="5"/>
  <c r="O115" i="5"/>
  <c r="O116" i="5"/>
  <c r="O111" i="5"/>
  <c r="I112" i="5"/>
  <c r="I113" i="5"/>
  <c r="I114" i="5"/>
  <c r="I115" i="5"/>
  <c r="I116" i="5"/>
  <c r="I111" i="5"/>
  <c r="C112" i="5"/>
  <c r="C113" i="5"/>
  <c r="C114" i="5"/>
  <c r="C115" i="5"/>
  <c r="C116" i="5"/>
  <c r="C111" i="5"/>
  <c r="O103" i="5"/>
  <c r="O104" i="5"/>
  <c r="O105" i="5"/>
  <c r="O106" i="5"/>
  <c r="O107" i="5"/>
  <c r="O102" i="5"/>
  <c r="I103" i="5"/>
  <c r="I104" i="5"/>
  <c r="I105" i="5"/>
  <c r="I106" i="5"/>
  <c r="I107" i="5"/>
  <c r="I102" i="5"/>
  <c r="C103" i="5"/>
  <c r="C104" i="5"/>
  <c r="C105" i="5"/>
  <c r="C106" i="5"/>
  <c r="C107" i="5"/>
  <c r="C102" i="5"/>
  <c r="J32" i="5"/>
  <c r="K32" i="5"/>
  <c r="L32" i="5"/>
  <c r="J33" i="5"/>
  <c r="K33" i="5"/>
  <c r="L33" i="5"/>
  <c r="J34" i="5"/>
  <c r="K34" i="5"/>
  <c r="L34" i="5"/>
  <c r="J35" i="5"/>
  <c r="K35" i="5"/>
  <c r="L35" i="5"/>
  <c r="J36" i="5"/>
  <c r="K36" i="5"/>
  <c r="L36" i="5"/>
  <c r="J37" i="5"/>
  <c r="K37" i="5"/>
  <c r="L37" i="5"/>
  <c r="J38" i="5"/>
  <c r="K38" i="5"/>
  <c r="L38" i="5"/>
  <c r="J39" i="5"/>
  <c r="K39" i="5"/>
  <c r="L39" i="5"/>
  <c r="J40" i="5"/>
  <c r="K40" i="5"/>
  <c r="L40" i="5"/>
  <c r="J41" i="5"/>
  <c r="K41" i="5"/>
  <c r="L41" i="5"/>
  <c r="J42" i="5"/>
  <c r="K42" i="5"/>
  <c r="L42" i="5"/>
  <c r="L31" i="5"/>
  <c r="K31" i="5"/>
  <c r="J31" i="5"/>
  <c r="J8" i="5"/>
  <c r="W27" i="3"/>
  <c r="W28" i="3"/>
  <c r="W29" i="3"/>
  <c r="W30" i="3"/>
  <c r="W31" i="3"/>
  <c r="W26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N17" i="3"/>
  <c r="O27" i="3"/>
  <c r="P27" i="3"/>
  <c r="Q27" i="3"/>
  <c r="R27" i="3"/>
  <c r="S27" i="3"/>
  <c r="T27" i="3"/>
  <c r="U27" i="3"/>
  <c r="V27" i="3"/>
  <c r="O28" i="3"/>
  <c r="P28" i="3"/>
  <c r="Q28" i="3"/>
  <c r="R28" i="3"/>
  <c r="S28" i="3"/>
  <c r="T28" i="3"/>
  <c r="U28" i="3"/>
  <c r="V28" i="3"/>
  <c r="O29" i="3"/>
  <c r="P29" i="3"/>
  <c r="Q29" i="3"/>
  <c r="R29" i="3"/>
  <c r="S29" i="3"/>
  <c r="T29" i="3"/>
  <c r="U29" i="3"/>
  <c r="V29" i="3"/>
  <c r="O30" i="3"/>
  <c r="P30" i="3"/>
  <c r="Q30" i="3"/>
  <c r="R30" i="3"/>
  <c r="S30" i="3"/>
  <c r="T30" i="3"/>
  <c r="U30" i="3"/>
  <c r="V30" i="3"/>
  <c r="O31" i="3"/>
  <c r="P31" i="3"/>
  <c r="Q31" i="3"/>
  <c r="R31" i="3"/>
  <c r="S31" i="3"/>
  <c r="T31" i="3"/>
  <c r="U31" i="3"/>
  <c r="V31" i="3"/>
  <c r="O26" i="3"/>
  <c r="P26" i="3"/>
  <c r="Q26" i="3"/>
  <c r="R26" i="3"/>
  <c r="S26" i="3"/>
  <c r="T26" i="3"/>
  <c r="U26" i="3"/>
  <c r="V26" i="3"/>
  <c r="N27" i="3"/>
  <c r="N28" i="3"/>
  <c r="N29" i="3"/>
  <c r="N30" i="3"/>
  <c r="N31" i="3"/>
  <c r="N26" i="3"/>
  <c r="X18" i="3"/>
  <c r="Y18" i="3"/>
  <c r="Z18" i="3"/>
  <c r="AA18" i="3"/>
  <c r="AB18" i="3"/>
  <c r="AC18" i="3"/>
  <c r="AD18" i="3"/>
  <c r="X19" i="3"/>
  <c r="Y19" i="3"/>
  <c r="Z19" i="3"/>
  <c r="AA19" i="3"/>
  <c r="AB19" i="3"/>
  <c r="AC19" i="3"/>
  <c r="AD19" i="3"/>
  <c r="X20" i="3"/>
  <c r="Y20" i="3"/>
  <c r="Z20" i="3"/>
  <c r="AA20" i="3"/>
  <c r="AB20" i="3"/>
  <c r="AC20" i="3"/>
  <c r="AD20" i="3"/>
  <c r="X21" i="3"/>
  <c r="Y21" i="3"/>
  <c r="Z21" i="3"/>
  <c r="AA21" i="3"/>
  <c r="AB21" i="3"/>
  <c r="AC21" i="3"/>
  <c r="AD21" i="3"/>
  <c r="X22" i="3"/>
  <c r="Y22" i="3"/>
  <c r="Z22" i="3"/>
  <c r="AA22" i="3"/>
  <c r="AB22" i="3"/>
  <c r="AC22" i="3"/>
  <c r="AD22" i="3"/>
  <c r="X23" i="3"/>
  <c r="Y23" i="3"/>
  <c r="Z23" i="3"/>
  <c r="AA23" i="3"/>
  <c r="AB23" i="3"/>
  <c r="AC23" i="3"/>
  <c r="AD23" i="3"/>
  <c r="O18" i="3"/>
  <c r="P18" i="3"/>
  <c r="Q18" i="3"/>
  <c r="R18" i="3"/>
  <c r="S18" i="3"/>
  <c r="T18" i="3"/>
  <c r="U18" i="3"/>
  <c r="V18" i="3"/>
  <c r="W18" i="3"/>
  <c r="O19" i="3"/>
  <c r="P19" i="3"/>
  <c r="Q19" i="3"/>
  <c r="R19" i="3"/>
  <c r="S19" i="3"/>
  <c r="T19" i="3"/>
  <c r="U19" i="3"/>
  <c r="V19" i="3"/>
  <c r="W19" i="3"/>
  <c r="O20" i="3"/>
  <c r="P20" i="3"/>
  <c r="Q20" i="3"/>
  <c r="R20" i="3"/>
  <c r="S20" i="3"/>
  <c r="T20" i="3"/>
  <c r="U20" i="3"/>
  <c r="V20" i="3"/>
  <c r="W20" i="3"/>
  <c r="O21" i="3"/>
  <c r="P21" i="3"/>
  <c r="Q21" i="3"/>
  <c r="R21" i="3"/>
  <c r="S21" i="3"/>
  <c r="T21" i="3"/>
  <c r="U21" i="3"/>
  <c r="V21" i="3"/>
  <c r="W21" i="3"/>
  <c r="O22" i="3"/>
  <c r="P22" i="3"/>
  <c r="Q22" i="3"/>
  <c r="R22" i="3"/>
  <c r="S22" i="3"/>
  <c r="T22" i="3"/>
  <c r="U22" i="3"/>
  <c r="V22" i="3"/>
  <c r="W22" i="3"/>
  <c r="O23" i="3"/>
  <c r="P23" i="3"/>
  <c r="Q23" i="3"/>
  <c r="R23" i="3"/>
  <c r="S23" i="3"/>
  <c r="T23" i="3"/>
  <c r="U23" i="3"/>
  <c r="V23" i="3"/>
  <c r="W23" i="3"/>
  <c r="N23" i="3"/>
  <c r="N22" i="3"/>
  <c r="N21" i="3"/>
  <c r="N20" i="3"/>
  <c r="N19" i="3"/>
  <c r="N18" i="3"/>
  <c r="AB5" i="3"/>
  <c r="AC5" i="3"/>
  <c r="AD5" i="3"/>
  <c r="AB6" i="3"/>
  <c r="AC6" i="3"/>
  <c r="AD6" i="3"/>
  <c r="AB7" i="3"/>
  <c r="AC7" i="3"/>
  <c r="AD7" i="3"/>
  <c r="AB8" i="3"/>
  <c r="AC8" i="3"/>
  <c r="AD8" i="3"/>
  <c r="AB9" i="3"/>
  <c r="AC9" i="3"/>
  <c r="AD9" i="3"/>
  <c r="AB10" i="3"/>
  <c r="AC10" i="3"/>
  <c r="AD10" i="3"/>
  <c r="AB11" i="3"/>
  <c r="AC11" i="3"/>
  <c r="AD11" i="3"/>
  <c r="AB12" i="3"/>
  <c r="AC12" i="3"/>
  <c r="AD12" i="3"/>
  <c r="AB13" i="3"/>
  <c r="AC13" i="3"/>
  <c r="AD13" i="3"/>
  <c r="AB14" i="3"/>
  <c r="AC14" i="3"/>
  <c r="AD14" i="3"/>
  <c r="AB15" i="3"/>
  <c r="AC15" i="3"/>
  <c r="AD15" i="3"/>
  <c r="AD4" i="3"/>
  <c r="AC4" i="3"/>
  <c r="AB4" i="3"/>
  <c r="Z5" i="3"/>
  <c r="AA5" i="3"/>
  <c r="Z6" i="3"/>
  <c r="AA6" i="3"/>
  <c r="Z7" i="3"/>
  <c r="AA7" i="3"/>
  <c r="Z8" i="3"/>
  <c r="AA8" i="3"/>
  <c r="Z9" i="3"/>
  <c r="AA9" i="3"/>
  <c r="Z10" i="3"/>
  <c r="AA10" i="3"/>
  <c r="Z11" i="3"/>
  <c r="AA11" i="3"/>
  <c r="Z12" i="3"/>
  <c r="AA12" i="3"/>
  <c r="Z13" i="3"/>
  <c r="AA13" i="3"/>
  <c r="Z14" i="3"/>
  <c r="AA14" i="3"/>
  <c r="Z15" i="3"/>
  <c r="AA15" i="3"/>
  <c r="AA4" i="3"/>
  <c r="Z4" i="3"/>
  <c r="Y5" i="3"/>
  <c r="Y6" i="3"/>
  <c r="Y7" i="3"/>
  <c r="Y8" i="3"/>
  <c r="Y9" i="3"/>
  <c r="Y10" i="3"/>
  <c r="Y11" i="3"/>
  <c r="Y12" i="3"/>
  <c r="Y13" i="3"/>
  <c r="Y14" i="3"/>
  <c r="Y15" i="3"/>
  <c r="Y4" i="3"/>
  <c r="X4" i="3"/>
  <c r="V5" i="3"/>
  <c r="W5" i="3"/>
  <c r="V6" i="3"/>
  <c r="W6" i="3"/>
  <c r="V7" i="3"/>
  <c r="W7" i="3"/>
  <c r="V8" i="3"/>
  <c r="W8" i="3"/>
  <c r="V9" i="3"/>
  <c r="W9" i="3"/>
  <c r="V10" i="3"/>
  <c r="W10" i="3"/>
  <c r="V11" i="3"/>
  <c r="W11" i="3"/>
  <c r="V12" i="3"/>
  <c r="W12" i="3"/>
  <c r="V13" i="3"/>
  <c r="W13" i="3"/>
  <c r="V14" i="3"/>
  <c r="W14" i="3"/>
  <c r="V15" i="3"/>
  <c r="W15" i="3"/>
  <c r="W4" i="3"/>
  <c r="V4" i="3"/>
  <c r="T5" i="3"/>
  <c r="U5" i="3"/>
  <c r="T6" i="3"/>
  <c r="U6" i="3"/>
  <c r="T7" i="3"/>
  <c r="U7" i="3"/>
  <c r="T8" i="3"/>
  <c r="U8" i="3"/>
  <c r="T9" i="3"/>
  <c r="U9" i="3"/>
  <c r="T10" i="3"/>
  <c r="U10" i="3"/>
  <c r="T11" i="3"/>
  <c r="U11" i="3"/>
  <c r="T12" i="3"/>
  <c r="U12" i="3"/>
  <c r="T13" i="3"/>
  <c r="U13" i="3"/>
  <c r="T14" i="3"/>
  <c r="U14" i="3"/>
  <c r="T15" i="3"/>
  <c r="U15" i="3"/>
  <c r="U4" i="3"/>
  <c r="T4" i="3"/>
  <c r="R5" i="3"/>
  <c r="S5" i="3"/>
  <c r="R6" i="3"/>
  <c r="S6" i="3"/>
  <c r="R7" i="3"/>
  <c r="S7" i="3"/>
  <c r="R8" i="3"/>
  <c r="S8" i="3"/>
  <c r="R9" i="3"/>
  <c r="S9" i="3"/>
  <c r="R10" i="3"/>
  <c r="S10" i="3"/>
  <c r="R11" i="3"/>
  <c r="S11" i="3"/>
  <c r="R12" i="3"/>
  <c r="S12" i="3"/>
  <c r="R13" i="3"/>
  <c r="S13" i="3"/>
  <c r="R14" i="3"/>
  <c r="S14" i="3"/>
  <c r="R15" i="3"/>
  <c r="S15" i="3"/>
  <c r="S4" i="3"/>
  <c r="R4" i="3"/>
  <c r="P5" i="3"/>
  <c r="Q5" i="3"/>
  <c r="P6" i="3"/>
  <c r="Q6" i="3"/>
  <c r="P7" i="3"/>
  <c r="Q7" i="3"/>
  <c r="P8" i="3"/>
  <c r="Q8" i="3"/>
  <c r="P9" i="3"/>
  <c r="Q9" i="3"/>
  <c r="P10" i="3"/>
  <c r="Q10" i="3"/>
  <c r="P11" i="3"/>
  <c r="Q11" i="3"/>
  <c r="P12" i="3"/>
  <c r="Q12" i="3"/>
  <c r="P13" i="3"/>
  <c r="Q13" i="3"/>
  <c r="P14" i="3"/>
  <c r="Q14" i="3"/>
  <c r="P15" i="3"/>
  <c r="Q15" i="3"/>
  <c r="N5" i="3"/>
  <c r="X5" i="3" s="1"/>
  <c r="O5" i="3"/>
  <c r="N6" i="3"/>
  <c r="X6" i="3" s="1"/>
  <c r="O6" i="3"/>
  <c r="N7" i="3"/>
  <c r="O7" i="3"/>
  <c r="N8" i="3"/>
  <c r="O8" i="3"/>
  <c r="N9" i="3"/>
  <c r="O9" i="3"/>
  <c r="N10" i="3"/>
  <c r="O10" i="3"/>
  <c r="N11" i="3"/>
  <c r="X11" i="3" s="1"/>
  <c r="O11" i="3"/>
  <c r="N12" i="3"/>
  <c r="X12" i="3" s="1"/>
  <c r="O12" i="3"/>
  <c r="N13" i="3"/>
  <c r="O13" i="3"/>
  <c r="N14" i="3"/>
  <c r="X14" i="3" s="1"/>
  <c r="O14" i="3"/>
  <c r="N15" i="3"/>
  <c r="O15" i="3"/>
  <c r="O4" i="3"/>
  <c r="Q4" i="3"/>
  <c r="P4" i="3"/>
  <c r="X7" i="3"/>
  <c r="X8" i="3"/>
  <c r="X9" i="3"/>
  <c r="X10" i="3"/>
  <c r="X13" i="3"/>
  <c r="X15" i="3"/>
  <c r="N4" i="3"/>
  <c r="AJ22" i="6"/>
  <c r="AK19" i="6"/>
  <c r="AG19" i="6"/>
  <c r="AH18" i="6"/>
  <c r="AG18" i="6"/>
  <c r="AK17" i="6"/>
  <c r="AF16" i="6"/>
  <c r="M21" i="6"/>
  <c r="N21" i="6"/>
  <c r="O21" i="6"/>
  <c r="M22" i="6"/>
  <c r="N22" i="6"/>
  <c r="O22" i="6"/>
  <c r="M23" i="6"/>
  <c r="N23" i="6"/>
  <c r="O23" i="6"/>
  <c r="M24" i="6"/>
  <c r="N24" i="6"/>
  <c r="O24" i="6"/>
  <c r="M25" i="6"/>
  <c r="N25" i="6"/>
  <c r="O25" i="6"/>
  <c r="L25" i="6"/>
  <c r="L24" i="6"/>
  <c r="L23" i="6"/>
  <c r="L22" i="6"/>
  <c r="L21" i="6"/>
  <c r="F52" i="6"/>
  <c r="E52" i="6"/>
  <c r="E48" i="6"/>
  <c r="D52" i="6"/>
  <c r="C52" i="6"/>
  <c r="F49" i="6"/>
  <c r="AI18" i="6" l="1"/>
  <c r="AH22" i="6"/>
  <c r="AI22" i="6"/>
  <c r="AF23" i="6"/>
  <c r="AK20" i="6"/>
  <c r="AH21" i="6"/>
  <c r="AG20" i="6"/>
  <c r="AG16" i="6"/>
  <c r="AH16" i="6"/>
  <c r="AF18" i="6"/>
  <c r="AF22" i="6"/>
  <c r="AF19" i="6"/>
  <c r="AI17" i="6"/>
  <c r="AH23" i="6"/>
  <c r="AK18" i="6"/>
  <c r="AG17" i="6"/>
  <c r="AG22" i="6"/>
  <c r="AH19" i="6"/>
  <c r="AJ19" i="6"/>
  <c r="AK21" i="6"/>
  <c r="AJ16" i="6"/>
  <c r="AG23" i="6"/>
  <c r="AI23" i="6"/>
  <c r="AI20" i="6"/>
  <c r="AJ23" i="6"/>
  <c r="AJ17" i="6"/>
  <c r="AJ18" i="6"/>
  <c r="AI16" i="6"/>
  <c r="AK16" i="6"/>
  <c r="F29" i="19"/>
  <c r="A7" i="20"/>
  <c r="A11" i="20"/>
  <c r="E25" i="19"/>
  <c r="G23" i="19"/>
  <c r="D9" i="20"/>
  <c r="D12" i="20"/>
  <c r="D13" i="20"/>
  <c r="D18" i="20"/>
  <c r="E29" i="19"/>
  <c r="F23" i="19"/>
  <c r="G31" i="19"/>
  <c r="I31" i="19" s="1"/>
  <c r="A14" i="20"/>
  <c r="D14" i="20"/>
  <c r="D7" i="20"/>
  <c r="D15" i="20"/>
  <c r="D8" i="20"/>
  <c r="G29" i="19"/>
  <c r="G25" i="19"/>
  <c r="G30" i="19"/>
  <c r="G26" i="19"/>
  <c r="G22" i="19"/>
  <c r="G24" i="19"/>
  <c r="G32" i="19"/>
  <c r="G27" i="19"/>
  <c r="G28" i="19"/>
  <c r="G21" i="19"/>
  <c r="E23" i="19"/>
  <c r="E27" i="19"/>
  <c r="E31" i="19"/>
  <c r="F31" i="19"/>
  <c r="Z16" i="16"/>
  <c r="Q25" i="16"/>
  <c r="P25" i="16"/>
  <c r="P24" i="16"/>
  <c r="Z13" i="16"/>
  <c r="R24" i="16" s="1"/>
  <c r="Q23" i="16"/>
  <c r="Z12" i="16"/>
  <c r="Z11" i="16"/>
  <c r="P22" i="16"/>
  <c r="Z10" i="16"/>
  <c r="P21" i="16"/>
  <c r="Z8" i="16"/>
  <c r="Z7" i="16"/>
  <c r="R21" i="16" s="1"/>
  <c r="Q20" i="16"/>
  <c r="P20" i="16"/>
  <c r="Z6" i="16"/>
  <c r="Z9" i="16"/>
  <c r="Q21" i="16"/>
  <c r="Q22" i="16"/>
  <c r="Q24" i="16"/>
  <c r="P23" i="16"/>
  <c r="Z15" i="16"/>
  <c r="Z5" i="16"/>
  <c r="E50" i="6"/>
  <c r="C48" i="6"/>
  <c r="D50" i="6"/>
  <c r="K51" i="6"/>
  <c r="K50" i="6"/>
  <c r="K48" i="6"/>
  <c r="K47" i="6"/>
  <c r="J52" i="6"/>
  <c r="J51" i="6"/>
  <c r="J50" i="6"/>
  <c r="J49" i="6"/>
  <c r="J48" i="6"/>
  <c r="J47" i="6"/>
  <c r="I52" i="6"/>
  <c r="I51" i="6"/>
  <c r="I50" i="6"/>
  <c r="I49" i="6"/>
  <c r="D48" i="6"/>
  <c r="D47" i="6"/>
  <c r="H52" i="6"/>
  <c r="H51" i="6"/>
  <c r="C50" i="6"/>
  <c r="H50" i="6"/>
  <c r="H49" i="6"/>
  <c r="H48" i="6"/>
  <c r="C51" i="6"/>
  <c r="F48" i="6"/>
  <c r="F50" i="6"/>
  <c r="D51" i="6"/>
  <c r="E51" i="6"/>
  <c r="F51" i="6"/>
  <c r="E47" i="6"/>
  <c r="E49" i="6"/>
  <c r="F47" i="6"/>
  <c r="I47" i="6"/>
  <c r="K49" i="6"/>
  <c r="K52" i="6"/>
  <c r="C49" i="6"/>
  <c r="D49" i="6"/>
  <c r="I48" i="6"/>
  <c r="C47" i="17"/>
  <c r="C42" i="17"/>
  <c r="C43" i="17"/>
  <c r="L31" i="17"/>
  <c r="E31" i="17"/>
  <c r="H23" i="19" l="1"/>
  <c r="I23" i="19"/>
  <c r="H31" i="19"/>
  <c r="E21" i="20"/>
  <c r="F21" i="20"/>
  <c r="C21" i="20"/>
  <c r="B21" i="20"/>
  <c r="I21" i="19"/>
  <c r="H21" i="19"/>
  <c r="I25" i="19"/>
  <c r="H25" i="19"/>
  <c r="H27" i="19"/>
  <c r="I27" i="19"/>
  <c r="I29" i="19"/>
  <c r="H29" i="19"/>
  <c r="R25" i="16"/>
  <c r="R23" i="16"/>
  <c r="R22" i="16"/>
  <c r="R20" i="16"/>
  <c r="O10" i="18"/>
  <c r="G26" i="18" s="1"/>
  <c r="O11" i="18"/>
  <c r="G27" i="18" s="1"/>
  <c r="O12" i="18"/>
  <c r="G28" i="18" s="1"/>
  <c r="O13" i="18"/>
  <c r="G29" i="18" s="1"/>
  <c r="O14" i="18"/>
  <c r="G30" i="18" s="1"/>
  <c r="O15" i="18"/>
  <c r="G31" i="18" s="1"/>
  <c r="O16" i="18"/>
  <c r="G32" i="18" s="1"/>
  <c r="O9" i="18"/>
  <c r="G25" i="18" s="1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D27" i="18"/>
  <c r="E27" i="18" s="1"/>
  <c r="D28" i="18"/>
  <c r="D29" i="18"/>
  <c r="E29" i="18" s="1"/>
  <c r="D30" i="18"/>
  <c r="D31" i="18"/>
  <c r="F31" i="18" s="1"/>
  <c r="D32" i="18"/>
  <c r="D26" i="18"/>
  <c r="D25" i="18"/>
  <c r="E25" i="18" s="1"/>
  <c r="D24" i="18"/>
  <c r="D23" i="18"/>
  <c r="D22" i="18"/>
  <c r="D21" i="18"/>
  <c r="E21" i="18" s="1"/>
  <c r="G9" i="18"/>
  <c r="F9" i="18"/>
  <c r="O8" i="18"/>
  <c r="G24" i="18" s="1"/>
  <c r="G8" i="18"/>
  <c r="F8" i="18"/>
  <c r="O7" i="18"/>
  <c r="G23" i="18" s="1"/>
  <c r="G7" i="18"/>
  <c r="F7" i="18"/>
  <c r="O6" i="18"/>
  <c r="G22" i="18" s="1"/>
  <c r="G6" i="18"/>
  <c r="F6" i="18"/>
  <c r="G5" i="18"/>
  <c r="F5" i="18"/>
  <c r="H5" i="18" s="1"/>
  <c r="B34" i="17"/>
  <c r="B33" i="17"/>
  <c r="B32" i="17"/>
  <c r="B31" i="17"/>
  <c r="D15" i="17"/>
  <c r="D13" i="17"/>
  <c r="A13" i="17"/>
  <c r="D12" i="17"/>
  <c r="A12" i="17"/>
  <c r="D11" i="17"/>
  <c r="A11" i="17"/>
  <c r="A10" i="17"/>
  <c r="G3" i="17"/>
  <c r="D14" i="17" s="1"/>
  <c r="C3" i="17"/>
  <c r="A15" i="17" s="1"/>
  <c r="G21" i="18" l="1"/>
  <c r="H10" i="18"/>
  <c r="J10" i="18" s="1"/>
  <c r="P10" i="18" s="1"/>
  <c r="H14" i="18"/>
  <c r="J14" i="18" s="1"/>
  <c r="P14" i="18" s="1"/>
  <c r="H12" i="19"/>
  <c r="J12" i="19" s="1"/>
  <c r="P12" i="19" s="1"/>
  <c r="C40" i="20"/>
  <c r="C47" i="20" s="1"/>
  <c r="H14" i="19"/>
  <c r="J14" i="19" s="1"/>
  <c r="H15" i="19"/>
  <c r="J15" i="19" s="1"/>
  <c r="H16" i="19"/>
  <c r="J16" i="19" s="1"/>
  <c r="P16" i="19" s="1"/>
  <c r="H5" i="19"/>
  <c r="J5" i="19" s="1"/>
  <c r="H10" i="19"/>
  <c r="J10" i="19" s="1"/>
  <c r="P10" i="19" s="1"/>
  <c r="H40" i="20"/>
  <c r="E33" i="20"/>
  <c r="C43" i="20"/>
  <c r="E32" i="20"/>
  <c r="C42" i="20"/>
  <c r="C41" i="20"/>
  <c r="E31" i="20"/>
  <c r="E34" i="20"/>
  <c r="J33" i="20"/>
  <c r="J34" i="20"/>
  <c r="H43" i="20"/>
  <c r="J32" i="20"/>
  <c r="H42" i="20"/>
  <c r="H41" i="20"/>
  <c r="J31" i="20"/>
  <c r="H46" i="20"/>
  <c r="H16" i="18"/>
  <c r="J16" i="18" s="1"/>
  <c r="P16" i="18" s="1"/>
  <c r="E31" i="18"/>
  <c r="H29" i="18"/>
  <c r="F27" i="18"/>
  <c r="H15" i="18"/>
  <c r="J15" i="18" s="1"/>
  <c r="P15" i="18" s="1"/>
  <c r="H12" i="18"/>
  <c r="J12" i="18" s="1"/>
  <c r="P12" i="18" s="1"/>
  <c r="H11" i="18"/>
  <c r="J11" i="18" s="1"/>
  <c r="H13" i="18"/>
  <c r="J13" i="18" s="1"/>
  <c r="P13" i="18" s="1"/>
  <c r="I31" i="18"/>
  <c r="F29" i="18"/>
  <c r="J5" i="18"/>
  <c r="F25" i="18"/>
  <c r="F23" i="18"/>
  <c r="H6" i="18"/>
  <c r="J6" i="18" s="1"/>
  <c r="P6" i="18" s="1"/>
  <c r="H7" i="18"/>
  <c r="J7" i="18" s="1"/>
  <c r="P7" i="18" s="1"/>
  <c r="F21" i="18"/>
  <c r="H8" i="18"/>
  <c r="J8" i="18" s="1"/>
  <c r="P8" i="18" s="1"/>
  <c r="H9" i="18"/>
  <c r="J9" i="18" s="1"/>
  <c r="A16" i="17"/>
  <c r="D7" i="17"/>
  <c r="A17" i="17"/>
  <c r="A8" i="17"/>
  <c r="D17" i="17"/>
  <c r="D8" i="17"/>
  <c r="A18" i="17"/>
  <c r="D16" i="17"/>
  <c r="A9" i="17"/>
  <c r="D18" i="17"/>
  <c r="D9" i="17"/>
  <c r="D10" i="17"/>
  <c r="F21" i="17"/>
  <c r="H42" i="17" s="1"/>
  <c r="E21" i="17"/>
  <c r="E23" i="18"/>
  <c r="A14" i="17"/>
  <c r="A7" i="17"/>
  <c r="K15" i="19" l="1"/>
  <c r="P15" i="19"/>
  <c r="L15" i="19"/>
  <c r="L13" i="19"/>
  <c r="P14" i="19"/>
  <c r="K13" i="19"/>
  <c r="P5" i="19"/>
  <c r="H11" i="19"/>
  <c r="J11" i="19" s="1"/>
  <c r="H9" i="19"/>
  <c r="J9" i="19" s="1"/>
  <c r="H8" i="19"/>
  <c r="J8" i="19" s="1"/>
  <c r="P8" i="19" s="1"/>
  <c r="H7" i="19"/>
  <c r="J7" i="19" s="1"/>
  <c r="H6" i="19"/>
  <c r="J6" i="19" s="1"/>
  <c r="P6" i="19" s="1"/>
  <c r="D49" i="20"/>
  <c r="L31" i="20"/>
  <c r="L32" i="20"/>
  <c r="L34" i="20"/>
  <c r="L33" i="20"/>
  <c r="R15" i="18"/>
  <c r="H21" i="18"/>
  <c r="I29" i="18"/>
  <c r="I27" i="18"/>
  <c r="H27" i="18"/>
  <c r="I21" i="18"/>
  <c r="Q15" i="18"/>
  <c r="K15" i="18"/>
  <c r="L15" i="18"/>
  <c r="L11" i="18"/>
  <c r="K11" i="18"/>
  <c r="P11" i="18"/>
  <c r="Q13" i="18"/>
  <c r="R13" i="18"/>
  <c r="K13" i="18"/>
  <c r="L13" i="18"/>
  <c r="L9" i="18"/>
  <c r="K9" i="18"/>
  <c r="K5" i="18"/>
  <c r="H31" i="18"/>
  <c r="L5" i="18"/>
  <c r="Q5" i="18"/>
  <c r="L7" i="18"/>
  <c r="K7" i="18"/>
  <c r="P9" i="18"/>
  <c r="H40" i="17"/>
  <c r="J32" i="17"/>
  <c r="J33" i="17"/>
  <c r="H43" i="17"/>
  <c r="J34" i="17"/>
  <c r="H41" i="17"/>
  <c r="J31" i="17"/>
  <c r="H23" i="18"/>
  <c r="I23" i="18"/>
  <c r="I25" i="18"/>
  <c r="H25" i="18"/>
  <c r="Q7" i="18"/>
  <c r="R7" i="18"/>
  <c r="C21" i="17"/>
  <c r="B21" i="17"/>
  <c r="L5" i="19" l="1"/>
  <c r="K5" i="19"/>
  <c r="L11" i="19"/>
  <c r="K11" i="19"/>
  <c r="P11" i="19"/>
  <c r="R13" i="19"/>
  <c r="Q13" i="19"/>
  <c r="Q5" i="19"/>
  <c r="R5" i="19"/>
  <c r="L7" i="19"/>
  <c r="P7" i="19"/>
  <c r="K7" i="19"/>
  <c r="P9" i="19"/>
  <c r="L9" i="19"/>
  <c r="K9" i="19"/>
  <c r="Q15" i="19"/>
  <c r="R15" i="19"/>
  <c r="Q11" i="18"/>
  <c r="R11" i="18"/>
  <c r="Q9" i="18"/>
  <c r="R9" i="18"/>
  <c r="R5" i="18"/>
  <c r="H46" i="17"/>
  <c r="C40" i="17"/>
  <c r="C41" i="17"/>
  <c r="E33" i="17"/>
  <c r="L33" i="17" s="1"/>
  <c r="E32" i="17"/>
  <c r="L32" i="17" s="1"/>
  <c r="E34" i="17"/>
  <c r="L34" i="17" s="1"/>
  <c r="Q9" i="19" l="1"/>
  <c r="R9" i="19"/>
  <c r="R11" i="19"/>
  <c r="Q11" i="19"/>
  <c r="R7" i="19"/>
  <c r="Q7" i="19"/>
  <c r="D49" i="17"/>
  <c r="D20" i="16" l="1"/>
  <c r="E20" i="16"/>
  <c r="D21" i="16"/>
  <c r="E21" i="16"/>
  <c r="D22" i="16"/>
  <c r="E22" i="16"/>
  <c r="D23" i="16"/>
  <c r="E23" i="16"/>
  <c r="D24" i="16"/>
  <c r="E24" i="16"/>
  <c r="D25" i="16"/>
  <c r="E25" i="16"/>
  <c r="C25" i="16"/>
  <c r="C24" i="16"/>
  <c r="C23" i="16"/>
  <c r="C22" i="16"/>
  <c r="C21" i="16"/>
  <c r="C20" i="16"/>
  <c r="K13" i="16"/>
  <c r="L13" i="16"/>
  <c r="K14" i="16"/>
  <c r="L14" i="16"/>
  <c r="K15" i="16"/>
  <c r="L15" i="16"/>
  <c r="K16" i="16"/>
  <c r="L16" i="16"/>
  <c r="K7" i="16"/>
  <c r="L7" i="16"/>
  <c r="K8" i="16"/>
  <c r="L8" i="16"/>
  <c r="K9" i="16"/>
  <c r="L9" i="16"/>
  <c r="K10" i="16"/>
  <c r="L10" i="16"/>
  <c r="K11" i="16"/>
  <c r="L11" i="16"/>
  <c r="K12" i="16"/>
  <c r="L12" i="16"/>
  <c r="K5" i="16"/>
  <c r="L5" i="16"/>
  <c r="M5" i="16" s="1"/>
  <c r="M6" i="16"/>
  <c r="L6" i="16"/>
  <c r="K6" i="16"/>
  <c r="M16" i="16" l="1"/>
  <c r="M15" i="16"/>
  <c r="M14" i="16"/>
  <c r="M13" i="16"/>
  <c r="M12" i="16"/>
  <c r="M11" i="16"/>
  <c r="M10" i="16"/>
  <c r="M9" i="16"/>
  <c r="M8" i="16"/>
  <c r="M7" i="16"/>
  <c r="H23" i="6"/>
  <c r="J65" i="8"/>
  <c r="C24" i="6"/>
  <c r="C22" i="6"/>
  <c r="J95" i="14"/>
  <c r="L95" i="14" s="1"/>
  <c r="D95" i="14"/>
  <c r="E95" i="14" s="1"/>
  <c r="J94" i="14"/>
  <c r="L94" i="14" s="1"/>
  <c r="D94" i="14"/>
  <c r="E94" i="14" s="1"/>
  <c r="J93" i="14"/>
  <c r="L93" i="14" s="1"/>
  <c r="D93" i="14"/>
  <c r="E93" i="14" s="1"/>
  <c r="J92" i="14"/>
  <c r="L92" i="14" s="1"/>
  <c r="D92" i="14"/>
  <c r="F92" i="14" s="1"/>
  <c r="J91" i="14"/>
  <c r="L91" i="14" s="1"/>
  <c r="D91" i="14"/>
  <c r="F91" i="14" s="1"/>
  <c r="J90" i="14"/>
  <c r="L90" i="14" s="1"/>
  <c r="D90" i="14"/>
  <c r="F90" i="14" s="1"/>
  <c r="J89" i="14"/>
  <c r="L89" i="14" s="1"/>
  <c r="D89" i="14"/>
  <c r="F89" i="14" s="1"/>
  <c r="J88" i="14"/>
  <c r="L88" i="14" s="1"/>
  <c r="D88" i="14"/>
  <c r="F88" i="14" s="1"/>
  <c r="J83" i="14"/>
  <c r="L83" i="14" s="1"/>
  <c r="D83" i="14"/>
  <c r="E83" i="14" s="1"/>
  <c r="J82" i="14"/>
  <c r="L82" i="14" s="1"/>
  <c r="D82" i="14"/>
  <c r="F82" i="14" s="1"/>
  <c r="J81" i="14"/>
  <c r="L81" i="14" s="1"/>
  <c r="D81" i="14"/>
  <c r="F81" i="14" s="1"/>
  <c r="J80" i="14"/>
  <c r="L80" i="14" s="1"/>
  <c r="D80" i="14"/>
  <c r="F80" i="14" s="1"/>
  <c r="J79" i="14"/>
  <c r="L79" i="14" s="1"/>
  <c r="D79" i="14"/>
  <c r="F79" i="14" s="1"/>
  <c r="J78" i="14"/>
  <c r="L78" i="14" s="1"/>
  <c r="D78" i="14"/>
  <c r="F78" i="14" s="1"/>
  <c r="J77" i="14"/>
  <c r="L77" i="14" s="1"/>
  <c r="D77" i="14"/>
  <c r="F77" i="14" s="1"/>
  <c r="J76" i="14"/>
  <c r="K76" i="14" s="1"/>
  <c r="D76" i="14"/>
  <c r="E76" i="14" s="1"/>
  <c r="J71" i="14"/>
  <c r="L71" i="14" s="1"/>
  <c r="D71" i="14"/>
  <c r="F71" i="14" s="1"/>
  <c r="J70" i="14"/>
  <c r="L70" i="14" s="1"/>
  <c r="D70" i="14"/>
  <c r="F70" i="14" s="1"/>
  <c r="J69" i="14"/>
  <c r="L69" i="14" s="1"/>
  <c r="D69" i="14"/>
  <c r="F69" i="14" s="1"/>
  <c r="J68" i="14"/>
  <c r="L68" i="14" s="1"/>
  <c r="D68" i="14"/>
  <c r="F68" i="14" s="1"/>
  <c r="J67" i="14"/>
  <c r="L67" i="14" s="1"/>
  <c r="D67" i="14"/>
  <c r="F67" i="14" s="1"/>
  <c r="J66" i="14"/>
  <c r="L66" i="14" s="1"/>
  <c r="D66" i="14"/>
  <c r="F66" i="14" s="1"/>
  <c r="J65" i="14"/>
  <c r="K65" i="14" s="1"/>
  <c r="D65" i="14"/>
  <c r="F65" i="14" s="1"/>
  <c r="J64" i="14"/>
  <c r="L64" i="14" s="1"/>
  <c r="D64" i="14"/>
  <c r="E64" i="14" s="1"/>
  <c r="K60" i="14"/>
  <c r="J60" i="14"/>
  <c r="I60" i="14"/>
  <c r="K59" i="14"/>
  <c r="J59" i="14"/>
  <c r="I59" i="14"/>
  <c r="K58" i="14"/>
  <c r="J58" i="14"/>
  <c r="I58" i="14"/>
  <c r="K57" i="14"/>
  <c r="J57" i="14"/>
  <c r="I57" i="14"/>
  <c r="K56" i="14"/>
  <c r="J56" i="14"/>
  <c r="I56" i="14"/>
  <c r="K55" i="14"/>
  <c r="J55" i="14"/>
  <c r="I55" i="14"/>
  <c r="K54" i="14"/>
  <c r="J54" i="14"/>
  <c r="I54" i="14"/>
  <c r="K53" i="14"/>
  <c r="J53" i="14"/>
  <c r="I53" i="14"/>
  <c r="J47" i="14"/>
  <c r="L47" i="14" s="1"/>
  <c r="D47" i="14"/>
  <c r="F47" i="14" s="1"/>
  <c r="J46" i="14"/>
  <c r="K46" i="14" s="1"/>
  <c r="D46" i="14"/>
  <c r="F46" i="14" s="1"/>
  <c r="J45" i="14"/>
  <c r="L45" i="14" s="1"/>
  <c r="D45" i="14"/>
  <c r="E45" i="14" s="1"/>
  <c r="J44" i="14"/>
  <c r="L44" i="14" s="1"/>
  <c r="D44" i="14"/>
  <c r="E44" i="14" s="1"/>
  <c r="J43" i="14"/>
  <c r="L43" i="14" s="1"/>
  <c r="D43" i="14"/>
  <c r="F43" i="14" s="1"/>
  <c r="J42" i="14"/>
  <c r="L42" i="14" s="1"/>
  <c r="D42" i="14"/>
  <c r="F42" i="14" s="1"/>
  <c r="J41" i="14"/>
  <c r="K41" i="14" s="1"/>
  <c r="D41" i="14"/>
  <c r="F41" i="14" s="1"/>
  <c r="J40" i="14"/>
  <c r="L40" i="14" s="1"/>
  <c r="D40" i="14"/>
  <c r="F40" i="14" s="1"/>
  <c r="J35" i="14"/>
  <c r="K35" i="14" s="1"/>
  <c r="D35" i="14"/>
  <c r="F35" i="14" s="1"/>
  <c r="J34" i="14"/>
  <c r="L34" i="14" s="1"/>
  <c r="D34" i="14"/>
  <c r="E34" i="14" s="1"/>
  <c r="J33" i="14"/>
  <c r="D33" i="14"/>
  <c r="F33" i="14" s="1"/>
  <c r="J32" i="14"/>
  <c r="L32" i="14" s="1"/>
  <c r="D32" i="14"/>
  <c r="F32" i="14" s="1"/>
  <c r="J31" i="14"/>
  <c r="L31" i="14" s="1"/>
  <c r="D31" i="14"/>
  <c r="F31" i="14" s="1"/>
  <c r="J30" i="14"/>
  <c r="L30" i="14" s="1"/>
  <c r="D30" i="14"/>
  <c r="F30" i="14" s="1"/>
  <c r="J29" i="14"/>
  <c r="L29" i="14" s="1"/>
  <c r="D29" i="14"/>
  <c r="F29" i="14" s="1"/>
  <c r="J28" i="14"/>
  <c r="L28" i="14" s="1"/>
  <c r="D28" i="14"/>
  <c r="F28" i="14" s="1"/>
  <c r="J22" i="14"/>
  <c r="L22" i="14" s="1"/>
  <c r="D22" i="14"/>
  <c r="F22" i="14" s="1"/>
  <c r="D21" i="14"/>
  <c r="F21" i="14" s="1"/>
  <c r="K12" i="14"/>
  <c r="J12" i="14"/>
  <c r="D23" i="14" s="1"/>
  <c r="E23" i="14" s="1"/>
  <c r="I12" i="14"/>
  <c r="K11" i="14"/>
  <c r="J11" i="14"/>
  <c r="I11" i="14"/>
  <c r="K10" i="14"/>
  <c r="J10" i="14"/>
  <c r="J21" i="14" s="1"/>
  <c r="L21" i="14" s="1"/>
  <c r="I10" i="14"/>
  <c r="K9" i="14"/>
  <c r="J9" i="14"/>
  <c r="J20" i="14" s="1"/>
  <c r="L20" i="14" s="1"/>
  <c r="I9" i="14"/>
  <c r="K8" i="14"/>
  <c r="J8" i="14"/>
  <c r="J19" i="14" s="1"/>
  <c r="L19" i="14" s="1"/>
  <c r="I8" i="14"/>
  <c r="K7" i="14"/>
  <c r="J7" i="14"/>
  <c r="J18" i="14" s="1"/>
  <c r="L18" i="14" s="1"/>
  <c r="I7" i="14"/>
  <c r="K6" i="14"/>
  <c r="J6" i="14"/>
  <c r="J17" i="14" s="1"/>
  <c r="L17" i="14" s="1"/>
  <c r="I6" i="14"/>
  <c r="K5" i="14"/>
  <c r="J5" i="14"/>
  <c r="J16" i="14" s="1"/>
  <c r="K16" i="14" s="1"/>
  <c r="I5" i="14"/>
  <c r="J95" i="12"/>
  <c r="L95" i="12" s="1"/>
  <c r="D95" i="12"/>
  <c r="F95" i="12" s="1"/>
  <c r="J94" i="12"/>
  <c r="L94" i="12" s="1"/>
  <c r="D94" i="12"/>
  <c r="E94" i="12" s="1"/>
  <c r="J93" i="12"/>
  <c r="K93" i="12" s="1"/>
  <c r="D93" i="12"/>
  <c r="E93" i="12" s="1"/>
  <c r="J92" i="12"/>
  <c r="L92" i="12" s="1"/>
  <c r="D92" i="12"/>
  <c r="F92" i="12" s="1"/>
  <c r="J91" i="12"/>
  <c r="L91" i="12" s="1"/>
  <c r="D91" i="12"/>
  <c r="F91" i="12" s="1"/>
  <c r="J90" i="12"/>
  <c r="L90" i="12" s="1"/>
  <c r="D90" i="12"/>
  <c r="F90" i="12" s="1"/>
  <c r="J89" i="12"/>
  <c r="L89" i="12" s="1"/>
  <c r="D89" i="12"/>
  <c r="F89" i="12" s="1"/>
  <c r="J88" i="12"/>
  <c r="L88" i="12" s="1"/>
  <c r="D88" i="12"/>
  <c r="E88" i="12" s="1"/>
  <c r="J83" i="12"/>
  <c r="L83" i="12" s="1"/>
  <c r="D83" i="12"/>
  <c r="E83" i="12" s="1"/>
  <c r="J82" i="12"/>
  <c r="K82" i="12" s="1"/>
  <c r="D82" i="12"/>
  <c r="E82" i="12" s="1"/>
  <c r="J81" i="12"/>
  <c r="L81" i="12" s="1"/>
  <c r="D81" i="12"/>
  <c r="E81" i="12" s="1"/>
  <c r="J80" i="12"/>
  <c r="L80" i="12" s="1"/>
  <c r="D80" i="12"/>
  <c r="F80" i="12" s="1"/>
  <c r="J79" i="12"/>
  <c r="L79" i="12" s="1"/>
  <c r="D79" i="12"/>
  <c r="F79" i="12" s="1"/>
  <c r="J78" i="12"/>
  <c r="L78" i="12" s="1"/>
  <c r="D78" i="12"/>
  <c r="F78" i="12" s="1"/>
  <c r="J77" i="12"/>
  <c r="L77" i="12" s="1"/>
  <c r="D77" i="12"/>
  <c r="E77" i="12" s="1"/>
  <c r="J76" i="12"/>
  <c r="L76" i="12" s="1"/>
  <c r="D76" i="12"/>
  <c r="F76" i="12" s="1"/>
  <c r="J71" i="12"/>
  <c r="K71" i="12" s="1"/>
  <c r="D71" i="12"/>
  <c r="E71" i="12" s="1"/>
  <c r="J70" i="12"/>
  <c r="L70" i="12" s="1"/>
  <c r="D70" i="12"/>
  <c r="F70" i="12" s="1"/>
  <c r="J69" i="12"/>
  <c r="K69" i="12" s="1"/>
  <c r="D69" i="12"/>
  <c r="F69" i="12" s="1"/>
  <c r="J68" i="12"/>
  <c r="L68" i="12" s="1"/>
  <c r="D68" i="12"/>
  <c r="F68" i="12" s="1"/>
  <c r="J67" i="12"/>
  <c r="L67" i="12" s="1"/>
  <c r="D67" i="12"/>
  <c r="F67" i="12" s="1"/>
  <c r="J66" i="12"/>
  <c r="L66" i="12" s="1"/>
  <c r="D66" i="12"/>
  <c r="E66" i="12" s="1"/>
  <c r="J65" i="12"/>
  <c r="L65" i="12" s="1"/>
  <c r="D65" i="12"/>
  <c r="F65" i="12" s="1"/>
  <c r="J64" i="12"/>
  <c r="L64" i="12" s="1"/>
  <c r="D64" i="12"/>
  <c r="E64" i="12" s="1"/>
  <c r="K60" i="12"/>
  <c r="J60" i="12"/>
  <c r="I60" i="12"/>
  <c r="K59" i="12"/>
  <c r="J59" i="12"/>
  <c r="I59" i="12"/>
  <c r="K58" i="12"/>
  <c r="J58" i="12"/>
  <c r="I58" i="12"/>
  <c r="K57" i="12"/>
  <c r="J57" i="12"/>
  <c r="I57" i="12"/>
  <c r="K56" i="12"/>
  <c r="J56" i="12"/>
  <c r="I56" i="12"/>
  <c r="K55" i="12"/>
  <c r="J55" i="12"/>
  <c r="I55" i="12"/>
  <c r="K54" i="12"/>
  <c r="J54" i="12"/>
  <c r="I54" i="12"/>
  <c r="K53" i="12"/>
  <c r="J53" i="12"/>
  <c r="I53" i="12"/>
  <c r="J47" i="12"/>
  <c r="L47" i="12" s="1"/>
  <c r="D47" i="12"/>
  <c r="E47" i="12" s="1"/>
  <c r="J46" i="12"/>
  <c r="L46" i="12" s="1"/>
  <c r="D46" i="12"/>
  <c r="E46" i="12" s="1"/>
  <c r="J45" i="12"/>
  <c r="K45" i="12" s="1"/>
  <c r="D45" i="12"/>
  <c r="E45" i="12" s="1"/>
  <c r="J44" i="12"/>
  <c r="L44" i="12" s="1"/>
  <c r="D44" i="12"/>
  <c r="E44" i="12" s="1"/>
  <c r="J43" i="12"/>
  <c r="K43" i="12" s="1"/>
  <c r="D43" i="12"/>
  <c r="F43" i="12" s="1"/>
  <c r="J42" i="12"/>
  <c r="L42" i="12" s="1"/>
  <c r="D42" i="12"/>
  <c r="F42" i="12" s="1"/>
  <c r="J41" i="12"/>
  <c r="L41" i="12" s="1"/>
  <c r="D41" i="12"/>
  <c r="F41" i="12" s="1"/>
  <c r="J40" i="12"/>
  <c r="L40" i="12" s="1"/>
  <c r="D40" i="12"/>
  <c r="F40" i="12" s="1"/>
  <c r="J35" i="12"/>
  <c r="L35" i="12" s="1"/>
  <c r="D35" i="12"/>
  <c r="F35" i="12" s="1"/>
  <c r="J34" i="12"/>
  <c r="K34" i="12" s="1"/>
  <c r="D34" i="12"/>
  <c r="E34" i="12" s="1"/>
  <c r="J33" i="12"/>
  <c r="L33" i="12" s="1"/>
  <c r="D33" i="12"/>
  <c r="E33" i="12" s="1"/>
  <c r="J32" i="12"/>
  <c r="K32" i="12" s="1"/>
  <c r="D32" i="12"/>
  <c r="F32" i="12" s="1"/>
  <c r="J31" i="12"/>
  <c r="K31" i="12" s="1"/>
  <c r="D31" i="12"/>
  <c r="F31" i="12" s="1"/>
  <c r="J30" i="12"/>
  <c r="K30" i="12" s="1"/>
  <c r="D30" i="12"/>
  <c r="F30" i="12" s="1"/>
  <c r="J29" i="12"/>
  <c r="L29" i="12" s="1"/>
  <c r="D29" i="12"/>
  <c r="F29" i="12" s="1"/>
  <c r="J28" i="12"/>
  <c r="L28" i="12" s="1"/>
  <c r="D28" i="12"/>
  <c r="E28" i="12" s="1"/>
  <c r="J23" i="12"/>
  <c r="K23" i="12" s="1"/>
  <c r="D23" i="12"/>
  <c r="E23" i="12" s="1"/>
  <c r="J22" i="12"/>
  <c r="L22" i="12" s="1"/>
  <c r="D22" i="12"/>
  <c r="E22" i="12" s="1"/>
  <c r="J21" i="12"/>
  <c r="K21" i="12" s="1"/>
  <c r="D21" i="12"/>
  <c r="F21" i="12" s="1"/>
  <c r="J20" i="12"/>
  <c r="K20" i="12" s="1"/>
  <c r="D20" i="12"/>
  <c r="F20" i="12" s="1"/>
  <c r="J19" i="12"/>
  <c r="L19" i="12" s="1"/>
  <c r="D19" i="12"/>
  <c r="F19" i="12" s="1"/>
  <c r="J18" i="12"/>
  <c r="L18" i="12" s="1"/>
  <c r="D18" i="12"/>
  <c r="J17" i="12"/>
  <c r="L17" i="12" s="1"/>
  <c r="D17" i="12"/>
  <c r="E17" i="12" s="1"/>
  <c r="J16" i="12"/>
  <c r="L16" i="12" s="1"/>
  <c r="D16" i="12"/>
  <c r="F16" i="12" s="1"/>
  <c r="K12" i="12"/>
  <c r="J12" i="12"/>
  <c r="I12" i="12"/>
  <c r="K11" i="12"/>
  <c r="J11" i="12"/>
  <c r="I11" i="12"/>
  <c r="K10" i="12"/>
  <c r="J10" i="12"/>
  <c r="I10" i="12"/>
  <c r="K9" i="12"/>
  <c r="J9" i="12"/>
  <c r="I9" i="12"/>
  <c r="K8" i="12"/>
  <c r="J8" i="12"/>
  <c r="I8" i="12"/>
  <c r="K7" i="12"/>
  <c r="J7" i="12"/>
  <c r="I7" i="12"/>
  <c r="K6" i="12"/>
  <c r="J6" i="12"/>
  <c r="I6" i="12"/>
  <c r="K5" i="12"/>
  <c r="J5" i="12"/>
  <c r="I5" i="12"/>
  <c r="J95" i="10"/>
  <c r="L95" i="10" s="1"/>
  <c r="D95" i="10"/>
  <c r="F95" i="10" s="1"/>
  <c r="J94" i="10"/>
  <c r="L94" i="10" s="1"/>
  <c r="D94" i="10"/>
  <c r="E94" i="10" s="1"/>
  <c r="J93" i="10"/>
  <c r="L93" i="10" s="1"/>
  <c r="D93" i="10"/>
  <c r="E93" i="10" s="1"/>
  <c r="J92" i="10"/>
  <c r="L92" i="10" s="1"/>
  <c r="D92" i="10"/>
  <c r="F92" i="10" s="1"/>
  <c r="J91" i="10"/>
  <c r="K91" i="10" s="1"/>
  <c r="D91" i="10"/>
  <c r="E91" i="10" s="1"/>
  <c r="J90" i="10"/>
  <c r="L90" i="10" s="1"/>
  <c r="D90" i="10"/>
  <c r="F90" i="10" s="1"/>
  <c r="J89" i="10"/>
  <c r="L89" i="10" s="1"/>
  <c r="D89" i="10"/>
  <c r="F89" i="10" s="1"/>
  <c r="J88" i="10"/>
  <c r="L88" i="10" s="1"/>
  <c r="D88" i="10"/>
  <c r="J83" i="10"/>
  <c r="L83" i="10" s="1"/>
  <c r="D83" i="10"/>
  <c r="E83" i="10" s="1"/>
  <c r="J82" i="10"/>
  <c r="L82" i="10" s="1"/>
  <c r="D82" i="10"/>
  <c r="E82" i="10" s="1"/>
  <c r="J81" i="10"/>
  <c r="L81" i="10" s="1"/>
  <c r="D81" i="10"/>
  <c r="E81" i="10" s="1"/>
  <c r="J80" i="10"/>
  <c r="L80" i="10" s="1"/>
  <c r="D80" i="10"/>
  <c r="E80" i="10" s="1"/>
  <c r="J79" i="10"/>
  <c r="L79" i="10" s="1"/>
  <c r="D79" i="10"/>
  <c r="F79" i="10" s="1"/>
  <c r="J78" i="10"/>
  <c r="L78" i="10" s="1"/>
  <c r="D78" i="10"/>
  <c r="F78" i="10" s="1"/>
  <c r="J77" i="10"/>
  <c r="L77" i="10" s="1"/>
  <c r="E77" i="10"/>
  <c r="D77" i="10"/>
  <c r="F77" i="10" s="1"/>
  <c r="J76" i="10"/>
  <c r="L76" i="10" s="1"/>
  <c r="D76" i="10"/>
  <c r="F76" i="10" s="1"/>
  <c r="J71" i="10"/>
  <c r="L71" i="10" s="1"/>
  <c r="D71" i="10"/>
  <c r="E71" i="10" s="1"/>
  <c r="J70" i="10"/>
  <c r="L70" i="10" s="1"/>
  <c r="D70" i="10"/>
  <c r="F70" i="10" s="1"/>
  <c r="J69" i="10"/>
  <c r="K69" i="10" s="1"/>
  <c r="D69" i="10"/>
  <c r="E69" i="10" s="1"/>
  <c r="J68" i="10"/>
  <c r="L68" i="10" s="1"/>
  <c r="D68" i="10"/>
  <c r="F68" i="10" s="1"/>
  <c r="J67" i="10"/>
  <c r="L67" i="10" s="1"/>
  <c r="D67" i="10"/>
  <c r="F67" i="10" s="1"/>
  <c r="J66" i="10"/>
  <c r="L66" i="10" s="1"/>
  <c r="D66" i="10"/>
  <c r="F66" i="10" s="1"/>
  <c r="J65" i="10"/>
  <c r="L65" i="10" s="1"/>
  <c r="D65" i="10"/>
  <c r="F65" i="10" s="1"/>
  <c r="J64" i="10"/>
  <c r="L64" i="10" s="1"/>
  <c r="D64" i="10"/>
  <c r="E64" i="10" s="1"/>
  <c r="K60" i="10"/>
  <c r="J60" i="10"/>
  <c r="I60" i="10"/>
  <c r="K59" i="10"/>
  <c r="J59" i="10"/>
  <c r="I59" i="10"/>
  <c r="K58" i="10"/>
  <c r="J58" i="10"/>
  <c r="I58" i="10"/>
  <c r="K57" i="10"/>
  <c r="J57" i="10"/>
  <c r="I57" i="10"/>
  <c r="K56" i="10"/>
  <c r="J56" i="10"/>
  <c r="I56" i="10"/>
  <c r="K55" i="10"/>
  <c r="J55" i="10"/>
  <c r="I55" i="10"/>
  <c r="K54" i="10"/>
  <c r="J54" i="10"/>
  <c r="I54" i="10"/>
  <c r="K53" i="10"/>
  <c r="J53" i="10"/>
  <c r="I53" i="10"/>
  <c r="J47" i="10"/>
  <c r="L47" i="10" s="1"/>
  <c r="D47" i="10"/>
  <c r="F47" i="10" s="1"/>
  <c r="J46" i="10"/>
  <c r="L46" i="10" s="1"/>
  <c r="D46" i="10"/>
  <c r="E46" i="10" s="1"/>
  <c r="J45" i="10"/>
  <c r="K45" i="10" s="1"/>
  <c r="D45" i="10"/>
  <c r="E45" i="10" s="1"/>
  <c r="J44" i="10"/>
  <c r="L44" i="10" s="1"/>
  <c r="D44" i="10"/>
  <c r="E44" i="10" s="1"/>
  <c r="J43" i="10"/>
  <c r="K43" i="10" s="1"/>
  <c r="D43" i="10"/>
  <c r="F43" i="10" s="1"/>
  <c r="J42" i="10"/>
  <c r="L42" i="10" s="1"/>
  <c r="D42" i="10"/>
  <c r="F42" i="10" s="1"/>
  <c r="J41" i="10"/>
  <c r="L41" i="10" s="1"/>
  <c r="D41" i="10"/>
  <c r="F41" i="10" s="1"/>
  <c r="J40" i="10"/>
  <c r="L40" i="10" s="1"/>
  <c r="D40" i="10"/>
  <c r="F40" i="10" s="1"/>
  <c r="J35" i="10"/>
  <c r="L35" i="10" s="1"/>
  <c r="D35" i="10"/>
  <c r="F35" i="10" s="1"/>
  <c r="J34" i="10"/>
  <c r="K34" i="10" s="1"/>
  <c r="D34" i="10"/>
  <c r="E34" i="10" s="1"/>
  <c r="J33" i="10"/>
  <c r="L33" i="10" s="1"/>
  <c r="D33" i="10"/>
  <c r="E33" i="10" s="1"/>
  <c r="J32" i="10"/>
  <c r="K32" i="10" s="1"/>
  <c r="D32" i="10"/>
  <c r="E32" i="10" s="1"/>
  <c r="J31" i="10"/>
  <c r="L31" i="10" s="1"/>
  <c r="D31" i="10"/>
  <c r="F31" i="10" s="1"/>
  <c r="J30" i="10"/>
  <c r="L30" i="10" s="1"/>
  <c r="D30" i="10"/>
  <c r="F30" i="10" s="1"/>
  <c r="J29" i="10"/>
  <c r="L29" i="10" s="1"/>
  <c r="D29" i="10"/>
  <c r="F29" i="10" s="1"/>
  <c r="J28" i="10"/>
  <c r="L28" i="10" s="1"/>
  <c r="D28" i="10"/>
  <c r="F28" i="10" s="1"/>
  <c r="J23" i="10"/>
  <c r="K23" i="10" s="1"/>
  <c r="D23" i="10"/>
  <c r="E23" i="10" s="1"/>
  <c r="J22" i="10"/>
  <c r="L22" i="10" s="1"/>
  <c r="D22" i="10"/>
  <c r="E22" i="10" s="1"/>
  <c r="J21" i="10"/>
  <c r="K21" i="10" s="1"/>
  <c r="D21" i="10"/>
  <c r="F21" i="10" s="1"/>
  <c r="J20" i="10"/>
  <c r="L20" i="10" s="1"/>
  <c r="D20" i="10"/>
  <c r="F20" i="10" s="1"/>
  <c r="J19" i="10"/>
  <c r="L19" i="10" s="1"/>
  <c r="D19" i="10"/>
  <c r="F19" i="10" s="1"/>
  <c r="J18" i="10"/>
  <c r="K18" i="10" s="1"/>
  <c r="D18" i="10"/>
  <c r="F18" i="10" s="1"/>
  <c r="J17" i="10"/>
  <c r="L17" i="10" s="1"/>
  <c r="D17" i="10"/>
  <c r="F17" i="10" s="1"/>
  <c r="J16" i="10"/>
  <c r="L16" i="10" s="1"/>
  <c r="D16" i="10"/>
  <c r="F16" i="10" s="1"/>
  <c r="K12" i="10"/>
  <c r="J12" i="10"/>
  <c r="I12" i="10"/>
  <c r="K11" i="10"/>
  <c r="J11" i="10"/>
  <c r="I11" i="10"/>
  <c r="K10" i="10"/>
  <c r="J10" i="10"/>
  <c r="I10" i="10"/>
  <c r="K9" i="10"/>
  <c r="J9" i="10"/>
  <c r="I9" i="10"/>
  <c r="K8" i="10"/>
  <c r="J8" i="10"/>
  <c r="I8" i="10"/>
  <c r="K7" i="10"/>
  <c r="J7" i="10"/>
  <c r="I7" i="10"/>
  <c r="K6" i="10"/>
  <c r="J6" i="10"/>
  <c r="I6" i="10"/>
  <c r="K5" i="10"/>
  <c r="J5" i="10"/>
  <c r="I5" i="10"/>
  <c r="J95" i="8"/>
  <c r="L95" i="8" s="1"/>
  <c r="D95" i="8"/>
  <c r="F95" i="8" s="1"/>
  <c r="J94" i="8"/>
  <c r="K94" i="8" s="1"/>
  <c r="D94" i="8"/>
  <c r="E94" i="8" s="1"/>
  <c r="J93" i="8"/>
  <c r="L93" i="8" s="1"/>
  <c r="D93" i="8"/>
  <c r="E93" i="8" s="1"/>
  <c r="J92" i="8"/>
  <c r="L92" i="8" s="1"/>
  <c r="D92" i="8"/>
  <c r="F92" i="8" s="1"/>
  <c r="J91" i="8"/>
  <c r="L91" i="8" s="1"/>
  <c r="D91" i="8"/>
  <c r="F91" i="8" s="1"/>
  <c r="J90" i="8"/>
  <c r="L90" i="8" s="1"/>
  <c r="D90" i="8"/>
  <c r="E90" i="8" s="1"/>
  <c r="J89" i="8"/>
  <c r="K89" i="8" s="1"/>
  <c r="D89" i="8"/>
  <c r="F89" i="8" s="1"/>
  <c r="J88" i="8"/>
  <c r="L88" i="8" s="1"/>
  <c r="D88" i="8"/>
  <c r="E88" i="8" s="1"/>
  <c r="J83" i="8"/>
  <c r="L83" i="8" s="1"/>
  <c r="D83" i="8"/>
  <c r="E83" i="8" s="1"/>
  <c r="J82" i="8"/>
  <c r="L82" i="8" s="1"/>
  <c r="D82" i="8"/>
  <c r="E82" i="8" s="1"/>
  <c r="J81" i="8"/>
  <c r="L81" i="8" s="1"/>
  <c r="D81" i="8"/>
  <c r="F81" i="8" s="1"/>
  <c r="J80" i="8"/>
  <c r="L80" i="8" s="1"/>
  <c r="D80" i="8"/>
  <c r="F80" i="8" s="1"/>
  <c r="J79" i="8"/>
  <c r="L79" i="8" s="1"/>
  <c r="D79" i="8"/>
  <c r="E79" i="8" s="1"/>
  <c r="J78" i="8"/>
  <c r="K78" i="8" s="1"/>
  <c r="D78" i="8"/>
  <c r="F78" i="8" s="1"/>
  <c r="J77" i="8"/>
  <c r="L77" i="8" s="1"/>
  <c r="D77" i="8"/>
  <c r="E77" i="8" s="1"/>
  <c r="J76" i="8"/>
  <c r="L76" i="8" s="1"/>
  <c r="D76" i="8"/>
  <c r="F76" i="8" s="1"/>
  <c r="J71" i="8"/>
  <c r="L71" i="8" s="1"/>
  <c r="D71" i="8"/>
  <c r="F71" i="8" s="1"/>
  <c r="J70" i="8"/>
  <c r="L70" i="8" s="1"/>
  <c r="D70" i="8"/>
  <c r="F70" i="8" s="1"/>
  <c r="J69" i="8"/>
  <c r="L69" i="8" s="1"/>
  <c r="D69" i="8"/>
  <c r="F69" i="8" s="1"/>
  <c r="J68" i="8"/>
  <c r="L68" i="8" s="1"/>
  <c r="D68" i="8"/>
  <c r="E68" i="8" s="1"/>
  <c r="J67" i="8"/>
  <c r="K67" i="8" s="1"/>
  <c r="D67" i="8"/>
  <c r="F67" i="8" s="1"/>
  <c r="J66" i="8"/>
  <c r="L66" i="8" s="1"/>
  <c r="D66" i="8"/>
  <c r="E66" i="8" s="1"/>
  <c r="L65" i="8"/>
  <c r="D65" i="8"/>
  <c r="F65" i="8" s="1"/>
  <c r="J64" i="8"/>
  <c r="L64" i="8" s="1"/>
  <c r="D64" i="8"/>
  <c r="E64" i="8" s="1"/>
  <c r="K60" i="8"/>
  <c r="J60" i="8"/>
  <c r="I60" i="8"/>
  <c r="K59" i="8"/>
  <c r="J59" i="8"/>
  <c r="I59" i="8"/>
  <c r="K58" i="8"/>
  <c r="J58" i="8"/>
  <c r="I58" i="8"/>
  <c r="K57" i="8"/>
  <c r="J57" i="8"/>
  <c r="I57" i="8"/>
  <c r="K56" i="8"/>
  <c r="J56" i="8"/>
  <c r="I56" i="8"/>
  <c r="K55" i="8"/>
  <c r="J55" i="8"/>
  <c r="I55" i="8"/>
  <c r="K54" i="8"/>
  <c r="J54" i="8"/>
  <c r="I54" i="8"/>
  <c r="K53" i="8"/>
  <c r="J53" i="8"/>
  <c r="I53" i="8"/>
  <c r="J47" i="8"/>
  <c r="L47" i="8" s="1"/>
  <c r="D47" i="8"/>
  <c r="E47" i="8" s="1"/>
  <c r="J46" i="8"/>
  <c r="L46" i="8" s="1"/>
  <c r="D46" i="8"/>
  <c r="F46" i="8" s="1"/>
  <c r="J45" i="8"/>
  <c r="L45" i="8" s="1"/>
  <c r="D45" i="8"/>
  <c r="E45" i="8" s="1"/>
  <c r="J44" i="8"/>
  <c r="L44" i="8" s="1"/>
  <c r="D44" i="8"/>
  <c r="E44" i="8" s="1"/>
  <c r="J43" i="8"/>
  <c r="L43" i="8" s="1"/>
  <c r="D43" i="8"/>
  <c r="F43" i="8" s="1"/>
  <c r="J42" i="8"/>
  <c r="L42" i="8" s="1"/>
  <c r="D42" i="8"/>
  <c r="E42" i="8" s="1"/>
  <c r="J41" i="8"/>
  <c r="L41" i="8" s="1"/>
  <c r="D41" i="8"/>
  <c r="E41" i="8" s="1"/>
  <c r="J40" i="8"/>
  <c r="L40" i="8" s="1"/>
  <c r="D40" i="8"/>
  <c r="E40" i="8" s="1"/>
  <c r="J35" i="8"/>
  <c r="L35" i="8" s="1"/>
  <c r="D35" i="8"/>
  <c r="F35" i="8" s="1"/>
  <c r="J34" i="8"/>
  <c r="K34" i="8" s="1"/>
  <c r="D34" i="8"/>
  <c r="F34" i="8" s="1"/>
  <c r="J33" i="8"/>
  <c r="K33" i="8" s="1"/>
  <c r="D33" i="8"/>
  <c r="E33" i="8" s="1"/>
  <c r="J32" i="8"/>
  <c r="L32" i="8" s="1"/>
  <c r="D32" i="8"/>
  <c r="F32" i="8" s="1"/>
  <c r="J31" i="8"/>
  <c r="L31" i="8" s="1"/>
  <c r="D31" i="8"/>
  <c r="F31" i="8" s="1"/>
  <c r="J30" i="8"/>
  <c r="L30" i="8" s="1"/>
  <c r="D30" i="8"/>
  <c r="F30" i="8" s="1"/>
  <c r="J29" i="8"/>
  <c r="L29" i="8" s="1"/>
  <c r="D29" i="8"/>
  <c r="E29" i="8" s="1"/>
  <c r="J28" i="8"/>
  <c r="L28" i="8" s="1"/>
  <c r="D28" i="8"/>
  <c r="E28" i="8" s="1"/>
  <c r="J23" i="8"/>
  <c r="L23" i="8" s="1"/>
  <c r="D23" i="8"/>
  <c r="E23" i="8" s="1"/>
  <c r="J22" i="8"/>
  <c r="L22" i="8" s="1"/>
  <c r="D22" i="8"/>
  <c r="E22" i="8" s="1"/>
  <c r="J21" i="8"/>
  <c r="L21" i="8" s="1"/>
  <c r="D21" i="8"/>
  <c r="F21" i="8" s="1"/>
  <c r="J20" i="8"/>
  <c r="L20" i="8" s="1"/>
  <c r="D20" i="8"/>
  <c r="F20" i="8" s="1"/>
  <c r="J19" i="8"/>
  <c r="L19" i="8" s="1"/>
  <c r="D19" i="8"/>
  <c r="E19" i="8" s="1"/>
  <c r="J18" i="8"/>
  <c r="L18" i="8" s="1"/>
  <c r="D18" i="8"/>
  <c r="E18" i="8" s="1"/>
  <c r="J17" i="8"/>
  <c r="L17" i="8" s="1"/>
  <c r="D17" i="8"/>
  <c r="E17" i="8" s="1"/>
  <c r="J16" i="8"/>
  <c r="L16" i="8" s="1"/>
  <c r="D16" i="8"/>
  <c r="F16" i="8" s="1"/>
  <c r="K12" i="8"/>
  <c r="J12" i="8"/>
  <c r="I12" i="8"/>
  <c r="K11" i="8"/>
  <c r="J11" i="8"/>
  <c r="I11" i="8"/>
  <c r="K10" i="8"/>
  <c r="J10" i="8"/>
  <c r="I10" i="8"/>
  <c r="K9" i="8"/>
  <c r="J9" i="8"/>
  <c r="I9" i="8"/>
  <c r="K8" i="8"/>
  <c r="J8" i="8"/>
  <c r="I8" i="8"/>
  <c r="K7" i="8"/>
  <c r="J7" i="8"/>
  <c r="I7" i="8"/>
  <c r="K6" i="8"/>
  <c r="J6" i="8"/>
  <c r="I6" i="8"/>
  <c r="K5" i="8"/>
  <c r="J5" i="8"/>
  <c r="I5" i="8"/>
  <c r="F95" i="14" l="1"/>
  <c r="K83" i="14"/>
  <c r="J23" i="14"/>
  <c r="L23" i="14" s="1"/>
  <c r="K94" i="14"/>
  <c r="D16" i="14"/>
  <c r="D17" i="14"/>
  <c r="F17" i="14" s="1"/>
  <c r="D18" i="14"/>
  <c r="F18" i="14" s="1"/>
  <c r="K90" i="14"/>
  <c r="D19" i="14"/>
  <c r="F19" i="14" s="1"/>
  <c r="K69" i="14"/>
  <c r="K80" i="14"/>
  <c r="D20" i="14"/>
  <c r="F20" i="14" s="1"/>
  <c r="K64" i="14"/>
  <c r="F93" i="14"/>
  <c r="F94" i="14"/>
  <c r="K91" i="14"/>
  <c r="L76" i="14"/>
  <c r="L84" i="14" s="1"/>
  <c r="K79" i="14"/>
  <c r="E82" i="14"/>
  <c r="F83" i="14"/>
  <c r="D84" i="14"/>
  <c r="F76" i="14"/>
  <c r="F84" i="14" s="1"/>
  <c r="E81" i="14"/>
  <c r="F64" i="14"/>
  <c r="F72" i="14" s="1"/>
  <c r="E70" i="14"/>
  <c r="E65" i="14"/>
  <c r="E71" i="14"/>
  <c r="L65" i="14"/>
  <c r="L72" i="14" s="1"/>
  <c r="K70" i="14"/>
  <c r="K68" i="14"/>
  <c r="J72" i="14"/>
  <c r="L41" i="14"/>
  <c r="L48" i="14" s="1"/>
  <c r="K30" i="14"/>
  <c r="K21" i="14"/>
  <c r="K43" i="14"/>
  <c r="L16" i="14"/>
  <c r="L24" i="14" s="1"/>
  <c r="K23" i="14"/>
  <c r="E22" i="14"/>
  <c r="F23" i="14"/>
  <c r="F45" i="14"/>
  <c r="K32" i="14"/>
  <c r="F44" i="14"/>
  <c r="K20" i="14"/>
  <c r="E33" i="14"/>
  <c r="D24" i="14"/>
  <c r="E16" i="14"/>
  <c r="J36" i="14"/>
  <c r="F16" i="14"/>
  <c r="E21" i="14"/>
  <c r="K45" i="14"/>
  <c r="F34" i="14"/>
  <c r="F36" i="14" s="1"/>
  <c r="E42" i="14"/>
  <c r="K34" i="14"/>
  <c r="K42" i="14"/>
  <c r="E46" i="14"/>
  <c r="K31" i="14"/>
  <c r="E35" i="14"/>
  <c r="E43" i="14"/>
  <c r="L46" i="14"/>
  <c r="K19" i="14"/>
  <c r="E32" i="14"/>
  <c r="L35" i="14"/>
  <c r="L82" i="12"/>
  <c r="L84" i="12" s="1"/>
  <c r="L71" i="12"/>
  <c r="L93" i="12"/>
  <c r="F81" i="12"/>
  <c r="F83" i="12"/>
  <c r="F94" i="12"/>
  <c r="L69" i="12"/>
  <c r="K80" i="12"/>
  <c r="F47" i="12"/>
  <c r="K90" i="12"/>
  <c r="K91" i="12"/>
  <c r="F88" i="12"/>
  <c r="F93" i="12"/>
  <c r="E92" i="12"/>
  <c r="K79" i="12"/>
  <c r="F82" i="12"/>
  <c r="F77" i="12"/>
  <c r="E80" i="12"/>
  <c r="K68" i="12"/>
  <c r="F66" i="12"/>
  <c r="F71" i="12"/>
  <c r="F64" i="12"/>
  <c r="E69" i="12"/>
  <c r="E65" i="12"/>
  <c r="E70" i="12"/>
  <c r="L45" i="12"/>
  <c r="L31" i="12"/>
  <c r="L34" i="12"/>
  <c r="F33" i="12"/>
  <c r="F45" i="12"/>
  <c r="K41" i="12"/>
  <c r="L20" i="12"/>
  <c r="K33" i="12"/>
  <c r="F17" i="12"/>
  <c r="F34" i="12"/>
  <c r="E43" i="12"/>
  <c r="F22" i="12"/>
  <c r="L30" i="12"/>
  <c r="D24" i="12"/>
  <c r="E21" i="12"/>
  <c r="K42" i="12"/>
  <c r="K22" i="12"/>
  <c r="F44" i="12"/>
  <c r="K19" i="12"/>
  <c r="K44" i="12"/>
  <c r="F23" i="12"/>
  <c r="E32" i="12"/>
  <c r="L23" i="12"/>
  <c r="F28" i="12"/>
  <c r="F36" i="12" s="1"/>
  <c r="C25" i="6"/>
  <c r="C21" i="6"/>
  <c r="F69" i="10"/>
  <c r="F64" i="10"/>
  <c r="L69" i="10"/>
  <c r="F81" i="10"/>
  <c r="F93" i="10"/>
  <c r="L34" i="10"/>
  <c r="F34" i="10"/>
  <c r="L91" i="10"/>
  <c r="K90" i="10"/>
  <c r="K88" i="10"/>
  <c r="D96" i="10"/>
  <c r="F94" i="10"/>
  <c r="F91" i="10"/>
  <c r="E92" i="10"/>
  <c r="F88" i="10"/>
  <c r="E88" i="10"/>
  <c r="F82" i="10"/>
  <c r="F83" i="10"/>
  <c r="F80" i="10"/>
  <c r="K77" i="10"/>
  <c r="K79" i="10"/>
  <c r="K80" i="10"/>
  <c r="E70" i="10"/>
  <c r="E66" i="10"/>
  <c r="F71" i="10"/>
  <c r="K66" i="10"/>
  <c r="K68" i="10"/>
  <c r="L72" i="10"/>
  <c r="E17" i="10"/>
  <c r="K19" i="10"/>
  <c r="F44" i="10"/>
  <c r="K20" i="10"/>
  <c r="K41" i="10"/>
  <c r="F32" i="10"/>
  <c r="E43" i="10"/>
  <c r="K22" i="10"/>
  <c r="K31" i="10"/>
  <c r="F23" i="10"/>
  <c r="K44" i="10"/>
  <c r="L23" i="10"/>
  <c r="F45" i="10"/>
  <c r="D36" i="10"/>
  <c r="E28" i="10"/>
  <c r="L45" i="10"/>
  <c r="F33" i="10"/>
  <c r="K42" i="10"/>
  <c r="E21" i="10"/>
  <c r="K33" i="10"/>
  <c r="E47" i="10"/>
  <c r="K30" i="10"/>
  <c r="F22" i="10"/>
  <c r="F24" i="10" s="1"/>
  <c r="C23" i="6"/>
  <c r="H20" i="6"/>
  <c r="F93" i="8"/>
  <c r="L89" i="8"/>
  <c r="F68" i="8"/>
  <c r="K76" i="8"/>
  <c r="F88" i="8"/>
  <c r="L94" i="8"/>
  <c r="L96" i="8" s="1"/>
  <c r="F79" i="8"/>
  <c r="K90" i="8"/>
  <c r="K64" i="8"/>
  <c r="E76" i="8"/>
  <c r="K95" i="8"/>
  <c r="K91" i="8"/>
  <c r="K93" i="8"/>
  <c r="F90" i="8"/>
  <c r="E95" i="8"/>
  <c r="F94" i="8"/>
  <c r="K82" i="8"/>
  <c r="L78" i="8"/>
  <c r="L84" i="8" s="1"/>
  <c r="K83" i="8"/>
  <c r="K79" i="8"/>
  <c r="K80" i="8"/>
  <c r="F83" i="8"/>
  <c r="F77" i="8"/>
  <c r="F82" i="8"/>
  <c r="K68" i="8"/>
  <c r="K69" i="8"/>
  <c r="K65" i="8"/>
  <c r="K71" i="8"/>
  <c r="L67" i="8"/>
  <c r="L72" i="8" s="1"/>
  <c r="J72" i="8"/>
  <c r="E65" i="8"/>
  <c r="F66" i="8"/>
  <c r="F64" i="8"/>
  <c r="K41" i="8"/>
  <c r="K22" i="8"/>
  <c r="E34" i="8"/>
  <c r="K16" i="8"/>
  <c r="F33" i="8"/>
  <c r="F18" i="8"/>
  <c r="L33" i="8"/>
  <c r="K42" i="8"/>
  <c r="F17" i="8"/>
  <c r="K19" i="8"/>
  <c r="F44" i="8"/>
  <c r="E30" i="8"/>
  <c r="K20" i="8"/>
  <c r="F45" i="8"/>
  <c r="K45" i="8"/>
  <c r="K31" i="8"/>
  <c r="F41" i="8"/>
  <c r="E35" i="8"/>
  <c r="K23" i="8"/>
  <c r="F47" i="8"/>
  <c r="F23" i="8"/>
  <c r="K35" i="8"/>
  <c r="F19" i="8"/>
  <c r="E16" i="8"/>
  <c r="F28" i="8"/>
  <c r="F40" i="8"/>
  <c r="K44" i="8"/>
  <c r="K30" i="8"/>
  <c r="K46" i="8"/>
  <c r="F29" i="8"/>
  <c r="L34" i="8"/>
  <c r="F22" i="8"/>
  <c r="E46" i="8"/>
  <c r="H24" i="6"/>
  <c r="H25" i="6"/>
  <c r="H22" i="6"/>
  <c r="F48" i="14"/>
  <c r="L96" i="14"/>
  <c r="D48" i="14"/>
  <c r="E18" i="14"/>
  <c r="E29" i="14"/>
  <c r="E40" i="14"/>
  <c r="E67" i="14"/>
  <c r="E78" i="14"/>
  <c r="E89" i="14"/>
  <c r="J48" i="14"/>
  <c r="E92" i="14"/>
  <c r="K18" i="14"/>
  <c r="K29" i="14"/>
  <c r="K40" i="14"/>
  <c r="K67" i="14"/>
  <c r="K78" i="14"/>
  <c r="K89" i="14"/>
  <c r="K81" i="14"/>
  <c r="K92" i="14"/>
  <c r="E19" i="14"/>
  <c r="J24" i="14"/>
  <c r="E30" i="14"/>
  <c r="E41" i="14"/>
  <c r="E68" i="14"/>
  <c r="E79" i="14"/>
  <c r="J84" i="14"/>
  <c r="E90" i="14"/>
  <c r="K95" i="14"/>
  <c r="D36" i="14"/>
  <c r="D96" i="14"/>
  <c r="E17" i="14"/>
  <c r="E28" i="14"/>
  <c r="E47" i="14"/>
  <c r="E66" i="14"/>
  <c r="E77" i="14"/>
  <c r="E88" i="14"/>
  <c r="K22" i="14"/>
  <c r="K33" i="14"/>
  <c r="K44" i="14"/>
  <c r="K71" i="14"/>
  <c r="K82" i="14"/>
  <c r="K93" i="14"/>
  <c r="E20" i="14"/>
  <c r="E31" i="14"/>
  <c r="L33" i="14"/>
  <c r="E69" i="14"/>
  <c r="E80" i="14"/>
  <c r="E91" i="14"/>
  <c r="J96" i="14"/>
  <c r="K17" i="14"/>
  <c r="K28" i="14"/>
  <c r="K47" i="14"/>
  <c r="K66" i="14"/>
  <c r="D72" i="14"/>
  <c r="K77" i="14"/>
  <c r="K88" i="14"/>
  <c r="L96" i="12"/>
  <c r="D48" i="12"/>
  <c r="E18" i="12"/>
  <c r="E29" i="12"/>
  <c r="E40" i="12"/>
  <c r="E67" i="12"/>
  <c r="J72" i="12"/>
  <c r="E78" i="12"/>
  <c r="E89" i="12"/>
  <c r="F18" i="12"/>
  <c r="F24" i="12" s="1"/>
  <c r="K64" i="12"/>
  <c r="K83" i="12"/>
  <c r="K94" i="12"/>
  <c r="J48" i="12"/>
  <c r="K40" i="12"/>
  <c r="K67" i="12"/>
  <c r="K78" i="12"/>
  <c r="D84" i="12"/>
  <c r="K89" i="12"/>
  <c r="E76" i="12"/>
  <c r="E95" i="12"/>
  <c r="K70" i="12"/>
  <c r="K81" i="12"/>
  <c r="K92" i="12"/>
  <c r="K18" i="12"/>
  <c r="E19" i="12"/>
  <c r="L21" i="12"/>
  <c r="L24" i="12" s="1"/>
  <c r="J24" i="12"/>
  <c r="E30" i="12"/>
  <c r="L32" i="12"/>
  <c r="E41" i="12"/>
  <c r="L43" i="12"/>
  <c r="L48" i="12" s="1"/>
  <c r="E68" i="12"/>
  <c r="E79" i="12"/>
  <c r="J84" i="12"/>
  <c r="E90" i="12"/>
  <c r="F46" i="12"/>
  <c r="K16" i="12"/>
  <c r="K35" i="12"/>
  <c r="K46" i="12"/>
  <c r="K65" i="12"/>
  <c r="K76" i="12"/>
  <c r="K95" i="12"/>
  <c r="E35" i="12"/>
  <c r="D36" i="12"/>
  <c r="D96" i="12"/>
  <c r="K29" i="12"/>
  <c r="E16" i="12"/>
  <c r="E91" i="12"/>
  <c r="J96" i="12"/>
  <c r="K66" i="12"/>
  <c r="D72" i="12"/>
  <c r="K77" i="12"/>
  <c r="K88" i="12"/>
  <c r="E20" i="12"/>
  <c r="E31" i="12"/>
  <c r="J36" i="12"/>
  <c r="E42" i="12"/>
  <c r="K17" i="12"/>
  <c r="K28" i="12"/>
  <c r="K47" i="12"/>
  <c r="L96" i="10"/>
  <c r="L84" i="10"/>
  <c r="D48" i="10"/>
  <c r="E18" i="10"/>
  <c r="E29" i="10"/>
  <c r="E40" i="10"/>
  <c r="E67" i="10"/>
  <c r="J72" i="10"/>
  <c r="E78" i="10"/>
  <c r="E89" i="10"/>
  <c r="K64" i="10"/>
  <c r="K83" i="10"/>
  <c r="K94" i="10"/>
  <c r="J48" i="10"/>
  <c r="D24" i="10"/>
  <c r="K40" i="10"/>
  <c r="K67" i="10"/>
  <c r="K78" i="10"/>
  <c r="D84" i="10"/>
  <c r="K89" i="10"/>
  <c r="L18" i="10"/>
  <c r="E35" i="10"/>
  <c r="E65" i="10"/>
  <c r="E76" i="10"/>
  <c r="E95" i="10"/>
  <c r="K70" i="10"/>
  <c r="K81" i="10"/>
  <c r="K92" i="10"/>
  <c r="E19" i="10"/>
  <c r="L21" i="10"/>
  <c r="J24" i="10"/>
  <c r="E30" i="10"/>
  <c r="L32" i="10"/>
  <c r="L36" i="10" s="1"/>
  <c r="E41" i="10"/>
  <c r="L43" i="10"/>
  <c r="L48" i="10" s="1"/>
  <c r="E68" i="10"/>
  <c r="E79" i="10"/>
  <c r="J84" i="10"/>
  <c r="E90" i="10"/>
  <c r="E16" i="10"/>
  <c r="F46" i="10"/>
  <c r="K16" i="10"/>
  <c r="K35" i="10"/>
  <c r="K46" i="10"/>
  <c r="K65" i="10"/>
  <c r="K76" i="10"/>
  <c r="K95" i="10"/>
  <c r="K29" i="10"/>
  <c r="K71" i="10"/>
  <c r="K82" i="10"/>
  <c r="K93" i="10"/>
  <c r="E20" i="10"/>
  <c r="E31" i="10"/>
  <c r="J36" i="10"/>
  <c r="E42" i="10"/>
  <c r="J96" i="10"/>
  <c r="D72" i="10"/>
  <c r="K17" i="10"/>
  <c r="K28" i="10"/>
  <c r="K47" i="10"/>
  <c r="L24" i="8"/>
  <c r="L48" i="8"/>
  <c r="D48" i="8"/>
  <c r="E67" i="8"/>
  <c r="E78" i="8"/>
  <c r="E89" i="8"/>
  <c r="E21" i="8"/>
  <c r="E32" i="8"/>
  <c r="E43" i="8"/>
  <c r="J48" i="8"/>
  <c r="E70" i="8"/>
  <c r="E81" i="8"/>
  <c r="E92" i="8"/>
  <c r="K18" i="8"/>
  <c r="D24" i="8"/>
  <c r="K29" i="8"/>
  <c r="K40" i="8"/>
  <c r="D84" i="8"/>
  <c r="K21" i="8"/>
  <c r="K32" i="8"/>
  <c r="K43" i="8"/>
  <c r="K70" i="8"/>
  <c r="K81" i="8"/>
  <c r="K92" i="8"/>
  <c r="J24" i="8"/>
  <c r="J84" i="8"/>
  <c r="E71" i="8"/>
  <c r="D36" i="8"/>
  <c r="D96" i="8"/>
  <c r="E69" i="8"/>
  <c r="E72" i="8" s="1"/>
  <c r="E80" i="8"/>
  <c r="E91" i="8"/>
  <c r="J96" i="8"/>
  <c r="E20" i="8"/>
  <c r="E31" i="8"/>
  <c r="J36" i="8"/>
  <c r="K17" i="8"/>
  <c r="K28" i="8"/>
  <c r="F42" i="8"/>
  <c r="K47" i="8"/>
  <c r="K66" i="8"/>
  <c r="D72" i="8"/>
  <c r="K77" i="8"/>
  <c r="K88" i="8"/>
  <c r="H21" i="6"/>
  <c r="F96" i="14" l="1"/>
  <c r="K84" i="14"/>
  <c r="E84" i="14"/>
  <c r="E72" i="14"/>
  <c r="K72" i="14"/>
  <c r="F24" i="14"/>
  <c r="E24" i="14"/>
  <c r="O20" i="6" s="1"/>
  <c r="L36" i="14"/>
  <c r="K24" i="14"/>
  <c r="F84" i="12"/>
  <c r="L72" i="12"/>
  <c r="F72" i="12"/>
  <c r="E84" i="12"/>
  <c r="E96" i="12"/>
  <c r="F96" i="12"/>
  <c r="K96" i="12"/>
  <c r="E72" i="12"/>
  <c r="L36" i="12"/>
  <c r="E36" i="12"/>
  <c r="K24" i="12"/>
  <c r="F48" i="12"/>
  <c r="E24" i="12"/>
  <c r="K48" i="12"/>
  <c r="F72" i="10"/>
  <c r="F96" i="10"/>
  <c r="E84" i="10"/>
  <c r="E96" i="10"/>
  <c r="F84" i="10"/>
  <c r="E72" i="10"/>
  <c r="K96" i="10"/>
  <c r="F36" i="10"/>
  <c r="L24" i="10"/>
  <c r="K48" i="10"/>
  <c r="E36" i="10"/>
  <c r="K36" i="10"/>
  <c r="F48" i="10"/>
  <c r="E24" i="10"/>
  <c r="F72" i="8"/>
  <c r="F84" i="8"/>
  <c r="E84" i="8"/>
  <c r="F96" i="8"/>
  <c r="K84" i="8"/>
  <c r="L36" i="8"/>
  <c r="E96" i="8"/>
  <c r="K72" i="8"/>
  <c r="K24" i="8"/>
  <c r="F48" i="8"/>
  <c r="F24" i="8"/>
  <c r="E48" i="8"/>
  <c r="E36" i="8"/>
  <c r="F36" i="8"/>
  <c r="E24" i="8"/>
  <c r="K48" i="8"/>
  <c r="E36" i="14"/>
  <c r="K48" i="14"/>
  <c r="K96" i="14"/>
  <c r="E48" i="14"/>
  <c r="E96" i="14"/>
  <c r="K36" i="14"/>
  <c r="K36" i="12"/>
  <c r="K72" i="12"/>
  <c r="K84" i="12"/>
  <c r="E48" i="12"/>
  <c r="K84" i="10"/>
  <c r="K72" i="10"/>
  <c r="K24" i="10"/>
  <c r="E48" i="10"/>
  <c r="K96" i="8"/>
  <c r="K36" i="8"/>
  <c r="K25" i="6" l="1"/>
  <c r="F25" i="6"/>
  <c r="K24" i="6"/>
  <c r="F24" i="6"/>
  <c r="K23" i="6"/>
  <c r="F23" i="6"/>
  <c r="K21" i="6"/>
  <c r="F21" i="6"/>
  <c r="K22" i="6"/>
  <c r="F22" i="6"/>
  <c r="K20" i="6"/>
  <c r="F20" i="6"/>
  <c r="J25" i="6"/>
  <c r="E25" i="6"/>
  <c r="J24" i="6"/>
  <c r="E24" i="6"/>
  <c r="E21" i="6"/>
  <c r="J21" i="6"/>
  <c r="J23" i="6"/>
  <c r="E23" i="6"/>
  <c r="J22" i="6"/>
  <c r="E22" i="6"/>
  <c r="E20" i="6"/>
  <c r="I25" i="6"/>
  <c r="D25" i="6"/>
  <c r="I24" i="6"/>
  <c r="D24" i="6"/>
  <c r="I23" i="6"/>
  <c r="D23" i="6"/>
  <c r="I22" i="6"/>
  <c r="D22" i="6"/>
  <c r="D20" i="6"/>
  <c r="I21" i="6"/>
  <c r="D21" i="6"/>
  <c r="C3" i="5"/>
  <c r="D3" i="5" s="1"/>
  <c r="E3" i="5" s="1"/>
  <c r="C4" i="5"/>
  <c r="D4" i="5" s="1"/>
  <c r="E4" i="5" s="1"/>
  <c r="C2" i="5"/>
  <c r="D2" i="5" s="1"/>
  <c r="E2" i="5" s="1"/>
  <c r="J20" i="6" l="1"/>
  <c r="N20" i="6"/>
  <c r="I20" i="6"/>
  <c r="M20" i="6"/>
  <c r="E5" i="5"/>
  <c r="C10" i="5" l="1"/>
  <c r="C85" i="5"/>
  <c r="C79" i="5"/>
  <c r="C61" i="5"/>
  <c r="C42" i="5"/>
  <c r="C60" i="5"/>
  <c r="C35" i="5"/>
  <c r="C56" i="5"/>
  <c r="C37" i="5"/>
  <c r="C84" i="5"/>
  <c r="C78" i="5"/>
  <c r="C34" i="5"/>
  <c r="C59" i="5"/>
  <c r="C33" i="5"/>
  <c r="C40" i="5"/>
  <c r="C83" i="5"/>
  <c r="C38" i="5"/>
  <c r="C39" i="5"/>
  <c r="C32" i="5"/>
  <c r="C86" i="5"/>
  <c r="C77" i="5"/>
  <c r="C58" i="5"/>
  <c r="C31" i="5"/>
  <c r="C57" i="5"/>
  <c r="C82" i="5"/>
  <c r="C65" i="5"/>
  <c r="C80" i="5"/>
  <c r="C36" i="5"/>
  <c r="C88" i="5"/>
  <c r="C81" i="5"/>
  <c r="C87" i="5"/>
  <c r="C63" i="5"/>
  <c r="C55" i="5"/>
  <c r="C41" i="5"/>
  <c r="C64" i="5"/>
  <c r="C62" i="5"/>
  <c r="C54" i="5"/>
  <c r="C11" i="5"/>
  <c r="C9" i="5"/>
  <c r="L9" i="5" s="1"/>
  <c r="C18" i="5"/>
  <c r="L18" i="5" s="1"/>
  <c r="C8" i="5"/>
  <c r="K8" i="5" s="1"/>
  <c r="C19" i="5"/>
  <c r="C17" i="5"/>
  <c r="L17" i="5" s="1"/>
  <c r="C16" i="5"/>
  <c r="K16" i="5" s="1"/>
  <c r="C14" i="5"/>
  <c r="K14" i="5" s="1"/>
  <c r="C13" i="5"/>
  <c r="K13" i="5" s="1"/>
  <c r="C15" i="5"/>
  <c r="J15" i="5" s="1"/>
  <c r="C12" i="5"/>
  <c r="K12" i="5" s="1"/>
  <c r="L10" i="5"/>
  <c r="K10" i="5"/>
  <c r="J10" i="5"/>
  <c r="D61" i="3"/>
  <c r="E61" i="3"/>
  <c r="F61" i="3"/>
  <c r="G61" i="3"/>
  <c r="H61" i="3"/>
  <c r="I61" i="3"/>
  <c r="J61" i="3"/>
  <c r="K61" i="3"/>
  <c r="D62" i="3"/>
  <c r="E62" i="3"/>
  <c r="F62" i="3"/>
  <c r="G62" i="3"/>
  <c r="H62" i="3"/>
  <c r="I62" i="3"/>
  <c r="J62" i="3"/>
  <c r="K62" i="3"/>
  <c r="D63" i="3"/>
  <c r="E63" i="3"/>
  <c r="F63" i="3"/>
  <c r="G63" i="3"/>
  <c r="H63" i="3"/>
  <c r="I63" i="3"/>
  <c r="J63" i="3"/>
  <c r="K63" i="3"/>
  <c r="D64" i="3"/>
  <c r="E64" i="3"/>
  <c r="F64" i="3"/>
  <c r="G64" i="3"/>
  <c r="H64" i="3"/>
  <c r="I64" i="3"/>
  <c r="J64" i="3"/>
  <c r="K64" i="3"/>
  <c r="D65" i="3"/>
  <c r="E65" i="3"/>
  <c r="F65" i="3"/>
  <c r="G65" i="3"/>
  <c r="H65" i="3"/>
  <c r="I65" i="3"/>
  <c r="J65" i="3"/>
  <c r="K65" i="3"/>
  <c r="D66" i="3"/>
  <c r="E66" i="3"/>
  <c r="F66" i="3"/>
  <c r="G66" i="3"/>
  <c r="H66" i="3"/>
  <c r="I66" i="3"/>
  <c r="J66" i="3"/>
  <c r="K66" i="3"/>
  <c r="C66" i="3"/>
  <c r="C65" i="3"/>
  <c r="C64" i="3"/>
  <c r="C63" i="3"/>
  <c r="C62" i="3"/>
  <c r="C61" i="3"/>
  <c r="F55" i="3"/>
  <c r="K58" i="3"/>
  <c r="J58" i="3"/>
  <c r="I58" i="3"/>
  <c r="H58" i="3"/>
  <c r="G58" i="3"/>
  <c r="F58" i="3"/>
  <c r="E58" i="3"/>
  <c r="D58" i="3"/>
  <c r="K57" i="3"/>
  <c r="J57" i="3"/>
  <c r="I57" i="3"/>
  <c r="H57" i="3"/>
  <c r="G57" i="3"/>
  <c r="F57" i="3"/>
  <c r="E57" i="3"/>
  <c r="D57" i="3"/>
  <c r="K56" i="3"/>
  <c r="J56" i="3"/>
  <c r="I56" i="3"/>
  <c r="H56" i="3"/>
  <c r="G56" i="3"/>
  <c r="F56" i="3"/>
  <c r="E56" i="3"/>
  <c r="D56" i="3"/>
  <c r="K55" i="3"/>
  <c r="J55" i="3"/>
  <c r="I55" i="3"/>
  <c r="H55" i="3"/>
  <c r="G55" i="3"/>
  <c r="E55" i="3"/>
  <c r="D55" i="3"/>
  <c r="K54" i="3"/>
  <c r="J54" i="3"/>
  <c r="I54" i="3"/>
  <c r="H54" i="3"/>
  <c r="G54" i="3"/>
  <c r="F54" i="3"/>
  <c r="E54" i="3"/>
  <c r="D54" i="3"/>
  <c r="K53" i="3"/>
  <c r="J53" i="3"/>
  <c r="I53" i="3"/>
  <c r="H53" i="3"/>
  <c r="G53" i="3"/>
  <c r="F53" i="3"/>
  <c r="E53" i="3"/>
  <c r="D53" i="3"/>
  <c r="C58" i="3"/>
  <c r="C57" i="3"/>
  <c r="C56" i="3"/>
  <c r="C55" i="3"/>
  <c r="C54" i="3"/>
  <c r="C53" i="3"/>
  <c r="D73" i="3"/>
  <c r="D3" i="3"/>
  <c r="E3" i="3"/>
  <c r="F3" i="3"/>
  <c r="G3" i="3"/>
  <c r="H3" i="3"/>
  <c r="I3" i="3"/>
  <c r="J3" i="3"/>
  <c r="K3" i="3"/>
  <c r="C51" i="3"/>
  <c r="D51" i="3" s="1"/>
  <c r="E51" i="3" s="1"/>
  <c r="F51" i="3" s="1"/>
  <c r="G51" i="3" s="1"/>
  <c r="H51" i="3" s="1"/>
  <c r="I51" i="3" s="1"/>
  <c r="J51" i="3" s="1"/>
  <c r="K51" i="3" s="1"/>
  <c r="C50" i="3"/>
  <c r="D50" i="3" s="1"/>
  <c r="E50" i="3" s="1"/>
  <c r="F50" i="3" s="1"/>
  <c r="G50" i="3" s="1"/>
  <c r="H50" i="3" s="1"/>
  <c r="I50" i="3" s="1"/>
  <c r="J50" i="3" s="1"/>
  <c r="K50" i="3" s="1"/>
  <c r="C49" i="3"/>
  <c r="D49" i="3" s="1"/>
  <c r="E49" i="3" s="1"/>
  <c r="F49" i="3" s="1"/>
  <c r="G49" i="3" s="1"/>
  <c r="H49" i="3" s="1"/>
  <c r="I49" i="3" s="1"/>
  <c r="J49" i="3" s="1"/>
  <c r="K49" i="3" s="1"/>
  <c r="C48" i="3"/>
  <c r="D48" i="3" s="1"/>
  <c r="D74" i="3" s="1"/>
  <c r="C47" i="3"/>
  <c r="D47" i="3" s="1"/>
  <c r="E47" i="3" s="1"/>
  <c r="F47" i="3" s="1"/>
  <c r="G47" i="3" s="1"/>
  <c r="H47" i="3" s="1"/>
  <c r="I47" i="3" s="1"/>
  <c r="J47" i="3" s="1"/>
  <c r="K47" i="3" s="1"/>
  <c r="C46" i="3"/>
  <c r="D46" i="3" s="1"/>
  <c r="E46" i="3" s="1"/>
  <c r="F46" i="3" s="1"/>
  <c r="G46" i="3" s="1"/>
  <c r="H46" i="3" s="1"/>
  <c r="I46" i="3" s="1"/>
  <c r="J46" i="3" s="1"/>
  <c r="K46" i="3" s="1"/>
  <c r="C45" i="3"/>
  <c r="D45" i="3" s="1"/>
  <c r="E45" i="3" s="1"/>
  <c r="F45" i="3" s="1"/>
  <c r="G45" i="3" s="1"/>
  <c r="H45" i="3" s="1"/>
  <c r="I45" i="3" s="1"/>
  <c r="J45" i="3" s="1"/>
  <c r="K45" i="3" s="1"/>
  <c r="C44" i="3"/>
  <c r="D44" i="3" s="1"/>
  <c r="D72" i="3" s="1"/>
  <c r="C43" i="3"/>
  <c r="D43" i="3" s="1"/>
  <c r="E43" i="3" s="1"/>
  <c r="F43" i="3" s="1"/>
  <c r="G43" i="3" s="1"/>
  <c r="H43" i="3" s="1"/>
  <c r="I43" i="3" s="1"/>
  <c r="J43" i="3" s="1"/>
  <c r="K43" i="3" s="1"/>
  <c r="C42" i="3"/>
  <c r="D42" i="3" s="1"/>
  <c r="E42" i="3" s="1"/>
  <c r="F42" i="3" s="1"/>
  <c r="G42" i="3" s="1"/>
  <c r="H42" i="3" s="1"/>
  <c r="I42" i="3" s="1"/>
  <c r="J42" i="3" s="1"/>
  <c r="K42" i="3" s="1"/>
  <c r="C41" i="3"/>
  <c r="D41" i="3" s="1"/>
  <c r="E41" i="3" s="1"/>
  <c r="F41" i="3" s="1"/>
  <c r="G41" i="3" s="1"/>
  <c r="H41" i="3" s="1"/>
  <c r="I41" i="3" s="1"/>
  <c r="J41" i="3" s="1"/>
  <c r="K41" i="3" s="1"/>
  <c r="C40" i="3"/>
  <c r="D40" i="3" s="1"/>
  <c r="E40" i="3" s="1"/>
  <c r="F40" i="3" s="1"/>
  <c r="G40" i="3" s="1"/>
  <c r="H40" i="3" s="1"/>
  <c r="I40" i="3" s="1"/>
  <c r="J40" i="3" s="1"/>
  <c r="K40" i="3" s="1"/>
  <c r="K70" i="3" s="1"/>
  <c r="C3" i="3"/>
  <c r="S12" i="5" l="1"/>
  <c r="G24" i="5" s="1"/>
  <c r="H113" i="5" s="1"/>
  <c r="O12" i="5"/>
  <c r="K71" i="3"/>
  <c r="E48" i="3"/>
  <c r="F48" i="3" s="1"/>
  <c r="G48" i="3" s="1"/>
  <c r="H48" i="3" s="1"/>
  <c r="I48" i="3" s="1"/>
  <c r="J48" i="3" s="1"/>
  <c r="K48" i="3" s="1"/>
  <c r="K74" i="3" s="1"/>
  <c r="K73" i="3"/>
  <c r="C74" i="3"/>
  <c r="F75" i="3"/>
  <c r="E75" i="3"/>
  <c r="D75" i="3"/>
  <c r="K75" i="3"/>
  <c r="F73" i="3"/>
  <c r="E73" i="3"/>
  <c r="K18" i="5"/>
  <c r="J9" i="5"/>
  <c r="J18" i="5"/>
  <c r="K9" i="5"/>
  <c r="S8" i="5" s="1"/>
  <c r="G22" i="5" s="1"/>
  <c r="H111" i="5" s="1"/>
  <c r="J17" i="5"/>
  <c r="J13" i="5"/>
  <c r="J12" i="5"/>
  <c r="L16" i="5"/>
  <c r="K17" i="5"/>
  <c r="S16" i="5" s="1"/>
  <c r="G26" i="5" s="1"/>
  <c r="H115" i="5" s="1"/>
  <c r="J63" i="5"/>
  <c r="K63" i="5"/>
  <c r="L63" i="5"/>
  <c r="J81" i="5"/>
  <c r="K81" i="5"/>
  <c r="L81" i="5"/>
  <c r="K80" i="5"/>
  <c r="L80" i="5"/>
  <c r="J80" i="5"/>
  <c r="K78" i="5"/>
  <c r="L78" i="5"/>
  <c r="J78" i="5"/>
  <c r="L13" i="5"/>
  <c r="M13" i="5" s="1"/>
  <c r="J19" i="5"/>
  <c r="L19" i="5"/>
  <c r="K19" i="5"/>
  <c r="K65" i="5"/>
  <c r="L65" i="5"/>
  <c r="J65" i="5"/>
  <c r="L84" i="5"/>
  <c r="K84" i="5"/>
  <c r="J84" i="5"/>
  <c r="L12" i="5"/>
  <c r="L15" i="5"/>
  <c r="L8" i="5"/>
  <c r="L57" i="5"/>
  <c r="J57" i="5"/>
  <c r="K57" i="5"/>
  <c r="L56" i="5"/>
  <c r="K56" i="5"/>
  <c r="J56" i="5"/>
  <c r="L83" i="5"/>
  <c r="K83" i="5"/>
  <c r="J83" i="5"/>
  <c r="K59" i="5"/>
  <c r="J59" i="5"/>
  <c r="L59" i="5"/>
  <c r="J14" i="5"/>
  <c r="K15" i="5"/>
  <c r="K11" i="5"/>
  <c r="S10" i="5" s="1"/>
  <c r="G23" i="5" s="1"/>
  <c r="H112" i="5" s="1"/>
  <c r="J11" i="5"/>
  <c r="N10" i="5" s="1"/>
  <c r="B23" i="5" s="1"/>
  <c r="B103" i="5" s="1"/>
  <c r="L11" i="5"/>
  <c r="T10" i="5" s="1"/>
  <c r="H23" i="5" s="1"/>
  <c r="N112" i="5" s="1"/>
  <c r="K58" i="5"/>
  <c r="L58" i="5"/>
  <c r="J58" i="5"/>
  <c r="J60" i="5"/>
  <c r="L60" i="5"/>
  <c r="K60" i="5"/>
  <c r="L54" i="5"/>
  <c r="K54" i="5"/>
  <c r="J54" i="5"/>
  <c r="L77" i="5"/>
  <c r="K77" i="5"/>
  <c r="J77" i="5"/>
  <c r="L87" i="5"/>
  <c r="K87" i="5"/>
  <c r="J87" i="5"/>
  <c r="L82" i="5"/>
  <c r="K82" i="5"/>
  <c r="J82" i="5"/>
  <c r="L62" i="5"/>
  <c r="K62" i="5"/>
  <c r="J62" i="5"/>
  <c r="L86" i="5"/>
  <c r="K86" i="5"/>
  <c r="M86" i="5" s="1"/>
  <c r="J86" i="5"/>
  <c r="K61" i="5"/>
  <c r="L61" i="5"/>
  <c r="J61" i="5"/>
  <c r="L14" i="5"/>
  <c r="L64" i="5"/>
  <c r="K64" i="5"/>
  <c r="J64" i="5"/>
  <c r="K79" i="5"/>
  <c r="L79" i="5"/>
  <c r="J79" i="5"/>
  <c r="K85" i="5"/>
  <c r="L85" i="5"/>
  <c r="J85" i="5"/>
  <c r="J88" i="5"/>
  <c r="K88" i="5"/>
  <c r="L88" i="5"/>
  <c r="J16" i="5"/>
  <c r="K55" i="5"/>
  <c r="L55" i="5"/>
  <c r="J55" i="5"/>
  <c r="M9" i="5"/>
  <c r="C24" i="5"/>
  <c r="H104" i="5" s="1"/>
  <c r="M16" i="5"/>
  <c r="M10" i="5"/>
  <c r="M18" i="5"/>
  <c r="M12" i="5"/>
  <c r="M15" i="5"/>
  <c r="J74" i="3"/>
  <c r="J70" i="3"/>
  <c r="I74" i="3"/>
  <c r="I70" i="3"/>
  <c r="C70" i="3"/>
  <c r="C71" i="3"/>
  <c r="H74" i="3"/>
  <c r="H70" i="3"/>
  <c r="C72" i="3"/>
  <c r="G74" i="3"/>
  <c r="G70" i="3"/>
  <c r="C73" i="3"/>
  <c r="F74" i="3"/>
  <c r="F70" i="3"/>
  <c r="E74" i="3"/>
  <c r="E70" i="3"/>
  <c r="E71" i="3"/>
  <c r="D70" i="3"/>
  <c r="D71" i="3"/>
  <c r="J75" i="3"/>
  <c r="J73" i="3"/>
  <c r="J71" i="3"/>
  <c r="I75" i="3"/>
  <c r="I73" i="3"/>
  <c r="I71" i="3"/>
  <c r="C75" i="3"/>
  <c r="H75" i="3"/>
  <c r="H73" i="3"/>
  <c r="H71" i="3"/>
  <c r="G75" i="3"/>
  <c r="G73" i="3"/>
  <c r="G71" i="3"/>
  <c r="F71" i="3"/>
  <c r="E44" i="3"/>
  <c r="P10" i="5" l="1"/>
  <c r="O10" i="5"/>
  <c r="R10" i="5"/>
  <c r="F23" i="5" s="1"/>
  <c r="B112" i="5" s="1"/>
  <c r="O16" i="5"/>
  <c r="P64" i="5"/>
  <c r="T64" i="5"/>
  <c r="H73" i="5" s="1"/>
  <c r="P116" i="5" s="1"/>
  <c r="T39" i="5"/>
  <c r="H49" i="5" s="1"/>
  <c r="P39" i="5"/>
  <c r="N8" i="5"/>
  <c r="B22" i="5" s="1"/>
  <c r="B102" i="5" s="1"/>
  <c r="R8" i="5"/>
  <c r="F22" i="5" s="1"/>
  <c r="B111" i="5" s="1"/>
  <c r="P87" i="5"/>
  <c r="T87" i="5"/>
  <c r="H96" i="5" s="1"/>
  <c r="Q116" i="5" s="1"/>
  <c r="P83" i="5"/>
  <c r="D94" i="5" s="1"/>
  <c r="Q105" i="5" s="1"/>
  <c r="T83" i="5"/>
  <c r="H94" i="5" s="1"/>
  <c r="Q114" i="5" s="1"/>
  <c r="S83" i="5"/>
  <c r="G94" i="5" s="1"/>
  <c r="K114" i="5" s="1"/>
  <c r="O83" i="5"/>
  <c r="C94" i="5" s="1"/>
  <c r="K105" i="5" s="1"/>
  <c r="M14" i="5"/>
  <c r="T14" i="5"/>
  <c r="H25" i="5" s="1"/>
  <c r="N114" i="5" s="1"/>
  <c r="P14" i="5"/>
  <c r="D25" i="5" s="1"/>
  <c r="N105" i="5" s="1"/>
  <c r="R56" i="5"/>
  <c r="F69" i="5" s="1"/>
  <c r="D112" i="5" s="1"/>
  <c r="N56" i="5"/>
  <c r="R77" i="5"/>
  <c r="F91" i="5" s="1"/>
  <c r="E111" i="5" s="1"/>
  <c r="N77" i="5"/>
  <c r="P35" i="5"/>
  <c r="T35" i="5"/>
  <c r="H47" i="5" s="1"/>
  <c r="O18" i="5"/>
  <c r="S18" i="5"/>
  <c r="G27" i="5" s="1"/>
  <c r="H116" i="5" s="1"/>
  <c r="S77" i="5"/>
  <c r="G91" i="5" s="1"/>
  <c r="K111" i="5" s="1"/>
  <c r="O77" i="5"/>
  <c r="C91" i="5" s="1"/>
  <c r="K102" i="5" s="1"/>
  <c r="T81" i="5"/>
  <c r="H93" i="5" s="1"/>
  <c r="Q113" i="5" s="1"/>
  <c r="P81" i="5"/>
  <c r="D93" i="5" s="1"/>
  <c r="Q104" i="5" s="1"/>
  <c r="M8" i="5"/>
  <c r="P8" i="5"/>
  <c r="D22" i="5" s="1"/>
  <c r="N102" i="5" s="1"/>
  <c r="T8" i="5"/>
  <c r="H22" i="5" s="1"/>
  <c r="N111" i="5" s="1"/>
  <c r="S81" i="5"/>
  <c r="G93" i="5" s="1"/>
  <c r="K113" i="5" s="1"/>
  <c r="O81" i="5"/>
  <c r="T18" i="5"/>
  <c r="H27" i="5" s="1"/>
  <c r="N116" i="5" s="1"/>
  <c r="S58" i="5"/>
  <c r="G70" i="5" s="1"/>
  <c r="J113" i="5" s="1"/>
  <c r="O58" i="5"/>
  <c r="C23" i="5"/>
  <c r="H103" i="5" s="1"/>
  <c r="P56" i="5"/>
  <c r="D69" i="5" s="1"/>
  <c r="P103" i="5" s="1"/>
  <c r="T56" i="5"/>
  <c r="H69" i="5" s="1"/>
  <c r="P112" i="5" s="1"/>
  <c r="R54" i="5"/>
  <c r="F68" i="5" s="1"/>
  <c r="D111" i="5" s="1"/>
  <c r="N54" i="5"/>
  <c r="B68" i="5" s="1"/>
  <c r="U12" i="5"/>
  <c r="I24" i="5" s="1"/>
  <c r="Q12" i="5"/>
  <c r="E24" i="5" s="1"/>
  <c r="P79" i="5"/>
  <c r="D92" i="5" s="1"/>
  <c r="Q103" i="5" s="1"/>
  <c r="T79" i="5"/>
  <c r="H92" i="5" s="1"/>
  <c r="Q112" i="5" s="1"/>
  <c r="R62" i="5"/>
  <c r="F72" i="5" s="1"/>
  <c r="D115" i="5" s="1"/>
  <c r="N62" i="5"/>
  <c r="S54" i="5"/>
  <c r="G68" i="5" s="1"/>
  <c r="J111" i="5" s="1"/>
  <c r="O54" i="5"/>
  <c r="P31" i="5"/>
  <c r="T31" i="5"/>
  <c r="H45" i="5" s="1"/>
  <c r="R81" i="5"/>
  <c r="F93" i="5" s="1"/>
  <c r="E113" i="5" s="1"/>
  <c r="N81" i="5"/>
  <c r="P18" i="5"/>
  <c r="D27" i="5" s="1"/>
  <c r="N107" i="5" s="1"/>
  <c r="S79" i="5"/>
  <c r="G92" i="5" s="1"/>
  <c r="K112" i="5" s="1"/>
  <c r="O79" i="5"/>
  <c r="C92" i="5" s="1"/>
  <c r="K103" i="5" s="1"/>
  <c r="S62" i="5"/>
  <c r="G72" i="5" s="1"/>
  <c r="J115" i="5" s="1"/>
  <c r="O62" i="5"/>
  <c r="C72" i="5" s="1"/>
  <c r="J106" i="5" s="1"/>
  <c r="T54" i="5"/>
  <c r="H68" i="5" s="1"/>
  <c r="P111" i="5" s="1"/>
  <c r="P54" i="5"/>
  <c r="P12" i="5"/>
  <c r="D24" i="5" s="1"/>
  <c r="N104" i="5" s="1"/>
  <c r="T12" i="5"/>
  <c r="H24" i="5" s="1"/>
  <c r="N113" i="5" s="1"/>
  <c r="S14" i="5"/>
  <c r="G25" i="5" s="1"/>
  <c r="H114" i="5" s="1"/>
  <c r="S56" i="5"/>
  <c r="G69" i="5" s="1"/>
  <c r="J112" i="5" s="1"/>
  <c r="O56" i="5"/>
  <c r="N14" i="5"/>
  <c r="B25" i="5" s="1"/>
  <c r="B105" i="5" s="1"/>
  <c r="R14" i="5"/>
  <c r="F25" i="5" s="1"/>
  <c r="B114" i="5" s="1"/>
  <c r="O14" i="5"/>
  <c r="C25" i="5" s="1"/>
  <c r="H105" i="5" s="1"/>
  <c r="N18" i="5"/>
  <c r="B27" i="5" s="1"/>
  <c r="B107" i="5" s="1"/>
  <c r="R18" i="5"/>
  <c r="F27" i="5" s="1"/>
  <c r="B116" i="5" s="1"/>
  <c r="T41" i="5"/>
  <c r="H50" i="5" s="1"/>
  <c r="P41" i="5"/>
  <c r="D50" i="5" s="1"/>
  <c r="N16" i="5"/>
  <c r="B26" i="5" s="1"/>
  <c r="B106" i="5" s="1"/>
  <c r="R16" i="5"/>
  <c r="F26" i="5" s="1"/>
  <c r="B115" i="5" s="1"/>
  <c r="P62" i="5"/>
  <c r="D72" i="5" s="1"/>
  <c r="P106" i="5" s="1"/>
  <c r="T62" i="5"/>
  <c r="H72" i="5" s="1"/>
  <c r="P115" i="5" s="1"/>
  <c r="T60" i="5"/>
  <c r="H71" i="5" s="1"/>
  <c r="P114" i="5" s="1"/>
  <c r="P60" i="5"/>
  <c r="T37" i="5"/>
  <c r="H48" i="5" s="1"/>
  <c r="P37" i="5"/>
  <c r="O8" i="5"/>
  <c r="C22" i="5" s="1"/>
  <c r="H102" i="5" s="1"/>
  <c r="P33" i="5"/>
  <c r="T33" i="5"/>
  <c r="H46" i="5" s="1"/>
  <c r="R79" i="5"/>
  <c r="F92" i="5" s="1"/>
  <c r="E112" i="5" s="1"/>
  <c r="N79" i="5"/>
  <c r="B92" i="5" s="1"/>
  <c r="Q18" i="5"/>
  <c r="U18" i="5"/>
  <c r="I27" i="5" s="1"/>
  <c r="R85" i="5"/>
  <c r="F95" i="5" s="1"/>
  <c r="E115" i="5" s="1"/>
  <c r="N85" i="5"/>
  <c r="T85" i="5"/>
  <c r="H95" i="5" s="1"/>
  <c r="Q115" i="5" s="1"/>
  <c r="P85" i="5"/>
  <c r="R60" i="5"/>
  <c r="F71" i="5" s="1"/>
  <c r="D114" i="5" s="1"/>
  <c r="N60" i="5"/>
  <c r="C26" i="5"/>
  <c r="H106" i="5" s="1"/>
  <c r="P77" i="5"/>
  <c r="T77" i="5"/>
  <c r="H91" i="5" s="1"/>
  <c r="Q111" i="5" s="1"/>
  <c r="S60" i="5"/>
  <c r="G71" i="5" s="1"/>
  <c r="J114" i="5" s="1"/>
  <c r="O60" i="5"/>
  <c r="S85" i="5"/>
  <c r="G95" i="5" s="1"/>
  <c r="K115" i="5" s="1"/>
  <c r="O85" i="5"/>
  <c r="C95" i="5" s="1"/>
  <c r="K106" i="5" s="1"/>
  <c r="R64" i="5"/>
  <c r="F73" i="5" s="1"/>
  <c r="D116" i="5" s="1"/>
  <c r="N64" i="5"/>
  <c r="B73" i="5" s="1"/>
  <c r="R58" i="5"/>
  <c r="F70" i="5" s="1"/>
  <c r="D113" i="5" s="1"/>
  <c r="N58" i="5"/>
  <c r="T16" i="5"/>
  <c r="H26" i="5" s="1"/>
  <c r="N115" i="5" s="1"/>
  <c r="P16" i="5"/>
  <c r="D26" i="5" s="1"/>
  <c r="N106" i="5" s="1"/>
  <c r="S87" i="5"/>
  <c r="G96" i="5" s="1"/>
  <c r="K116" i="5" s="1"/>
  <c r="O87" i="5"/>
  <c r="C27" i="5"/>
  <c r="H107" i="5" s="1"/>
  <c r="S64" i="5"/>
  <c r="G73" i="5" s="1"/>
  <c r="J116" i="5" s="1"/>
  <c r="O64" i="5"/>
  <c r="C73" i="5" s="1"/>
  <c r="J107" i="5" s="1"/>
  <c r="R87" i="5"/>
  <c r="F96" i="5" s="1"/>
  <c r="E116" i="5" s="1"/>
  <c r="N87" i="5"/>
  <c r="P58" i="5"/>
  <c r="D70" i="5" s="1"/>
  <c r="P104" i="5" s="1"/>
  <c r="T58" i="5"/>
  <c r="H70" i="5" s="1"/>
  <c r="P113" i="5" s="1"/>
  <c r="R83" i="5"/>
  <c r="F94" i="5" s="1"/>
  <c r="E114" i="5" s="1"/>
  <c r="N83" i="5"/>
  <c r="B94" i="5" s="1"/>
  <c r="N12" i="5"/>
  <c r="B24" i="5" s="1"/>
  <c r="B104" i="5" s="1"/>
  <c r="R12" i="5"/>
  <c r="F24" i="5" s="1"/>
  <c r="B113" i="5" s="1"/>
  <c r="O31" i="5"/>
  <c r="C45" i="5" s="1"/>
  <c r="S31" i="5"/>
  <c r="G45" i="5" s="1"/>
  <c r="N31" i="5"/>
  <c r="B45" i="5" s="1"/>
  <c r="R31" i="5"/>
  <c r="F45" i="5" s="1"/>
  <c r="B71" i="5"/>
  <c r="B91" i="5"/>
  <c r="M57" i="5"/>
  <c r="B96" i="5"/>
  <c r="C69" i="5"/>
  <c r="J103" i="5" s="1"/>
  <c r="B93" i="5"/>
  <c r="M11" i="5"/>
  <c r="U10" i="5" s="1"/>
  <c r="I23" i="5" s="1"/>
  <c r="B69" i="5"/>
  <c r="M65" i="5"/>
  <c r="M17" i="5"/>
  <c r="U16" i="5" s="1"/>
  <c r="I26" i="5" s="1"/>
  <c r="M88" i="5"/>
  <c r="B72" i="5"/>
  <c r="M78" i="5"/>
  <c r="M19" i="5"/>
  <c r="B70" i="5"/>
  <c r="M58" i="5"/>
  <c r="D73" i="5"/>
  <c r="P107" i="5" s="1"/>
  <c r="M64" i="5"/>
  <c r="C70" i="5"/>
  <c r="J104" i="5" s="1"/>
  <c r="M84" i="5"/>
  <c r="M41" i="5"/>
  <c r="M61" i="5"/>
  <c r="M56" i="5"/>
  <c r="D46" i="5"/>
  <c r="M33" i="5"/>
  <c r="M35" i="5"/>
  <c r="D47" i="5"/>
  <c r="M55" i="5"/>
  <c r="M87" i="5"/>
  <c r="D96" i="5"/>
  <c r="Q107" i="5" s="1"/>
  <c r="D91" i="5"/>
  <c r="Q102" i="5" s="1"/>
  <c r="M77" i="5"/>
  <c r="M81" i="5"/>
  <c r="D23" i="5"/>
  <c r="N103" i="5" s="1"/>
  <c r="C93" i="5"/>
  <c r="K104" i="5" s="1"/>
  <c r="D49" i="5"/>
  <c r="M39" i="5"/>
  <c r="M79" i="5"/>
  <c r="C68" i="5"/>
  <c r="J102" i="5" s="1"/>
  <c r="D45" i="5"/>
  <c r="M31" i="5"/>
  <c r="C96" i="5"/>
  <c r="K107" i="5" s="1"/>
  <c r="M62" i="5"/>
  <c r="D68" i="5"/>
  <c r="P102" i="5" s="1"/>
  <c r="M54" i="5"/>
  <c r="M63" i="5"/>
  <c r="M83" i="5"/>
  <c r="C71" i="5"/>
  <c r="J105" i="5" s="1"/>
  <c r="B95" i="5"/>
  <c r="M60" i="5"/>
  <c r="D71" i="5"/>
  <c r="P105" i="5" s="1"/>
  <c r="M59" i="5"/>
  <c r="D48" i="5"/>
  <c r="M37" i="5"/>
  <c r="M85" i="5"/>
  <c r="D95" i="5"/>
  <c r="Q106" i="5" s="1"/>
  <c r="M82" i="5"/>
  <c r="M80" i="5"/>
  <c r="F44" i="3"/>
  <c r="E72" i="3"/>
  <c r="Q10" i="5" l="1"/>
  <c r="U8" i="5"/>
  <c r="I22" i="5" s="1"/>
  <c r="Q8" i="5"/>
  <c r="E22" i="5" s="1"/>
  <c r="U14" i="5"/>
  <c r="I25" i="5" s="1"/>
  <c r="Q14" i="5"/>
  <c r="E25" i="5" s="1"/>
  <c r="Q64" i="5"/>
  <c r="U64" i="5"/>
  <c r="I73" i="5" s="1"/>
  <c r="Q60" i="5"/>
  <c r="U60" i="5"/>
  <c r="I71" i="5" s="1"/>
  <c r="Q87" i="5"/>
  <c r="E96" i="5" s="1"/>
  <c r="U87" i="5"/>
  <c r="E26" i="5"/>
  <c r="U58" i="5"/>
  <c r="I70" i="5" s="1"/>
  <c r="Q58" i="5"/>
  <c r="E70" i="5" s="1"/>
  <c r="Q83" i="5"/>
  <c r="E94" i="5" s="1"/>
  <c r="U83" i="5"/>
  <c r="Q16" i="5"/>
  <c r="U81" i="5"/>
  <c r="Q81" i="5"/>
  <c r="E93" i="5" s="1"/>
  <c r="Q56" i="5"/>
  <c r="E69" i="5" s="1"/>
  <c r="U56" i="5"/>
  <c r="I69" i="5" s="1"/>
  <c r="E23" i="5"/>
  <c r="U54" i="5"/>
  <c r="I68" i="5" s="1"/>
  <c r="Q54" i="5"/>
  <c r="E68" i="5" s="1"/>
  <c r="Q79" i="5"/>
  <c r="E92" i="5" s="1"/>
  <c r="U79" i="5"/>
  <c r="U77" i="5"/>
  <c r="Q77" i="5"/>
  <c r="E91" i="5" s="1"/>
  <c r="U85" i="5"/>
  <c r="Q85" i="5"/>
  <c r="E95" i="5" s="1"/>
  <c r="U62" i="5"/>
  <c r="I72" i="5" s="1"/>
  <c r="Q62" i="5"/>
  <c r="E72" i="5" s="1"/>
  <c r="E27" i="5"/>
  <c r="E73" i="5"/>
  <c r="E71" i="5"/>
  <c r="E102" i="5" a="1"/>
  <c r="E102" i="5" s="1"/>
  <c r="D102" i="5" a="1"/>
  <c r="G44" i="3"/>
  <c r="F72" i="3"/>
  <c r="I96" i="5" l="1"/>
  <c r="I91" i="5"/>
  <c r="M32" i="5"/>
  <c r="I92" i="5"/>
  <c r="I93" i="5"/>
  <c r="I94" i="5"/>
  <c r="I95" i="5"/>
  <c r="D102" i="5"/>
  <c r="H44" i="3"/>
  <c r="G72" i="3"/>
  <c r="Q31" i="5" l="1"/>
  <c r="E45" i="5" s="1"/>
  <c r="U31" i="5"/>
  <c r="I45" i="5" s="1"/>
  <c r="N35" i="5"/>
  <c r="B47" i="5" s="1"/>
  <c r="R35" i="5"/>
  <c r="F47" i="5" s="1"/>
  <c r="R37" i="5"/>
  <c r="F48" i="5" s="1"/>
  <c r="N37" i="5"/>
  <c r="B48" i="5" s="1"/>
  <c r="S33" i="5"/>
  <c r="G46" i="5" s="1"/>
  <c r="O33" i="5"/>
  <c r="C46" i="5" s="1"/>
  <c r="M34" i="5"/>
  <c r="O37" i="5"/>
  <c r="C48" i="5" s="1"/>
  <c r="M38" i="5"/>
  <c r="S37" i="5"/>
  <c r="G48" i="5" s="1"/>
  <c r="M36" i="5"/>
  <c r="S35" i="5"/>
  <c r="G47" i="5" s="1"/>
  <c r="O35" i="5"/>
  <c r="C47" i="5" s="1"/>
  <c r="R41" i="5"/>
  <c r="F50" i="5" s="1"/>
  <c r="N41" i="5"/>
  <c r="B50" i="5" s="1"/>
  <c r="R33" i="5"/>
  <c r="F46" i="5" s="1"/>
  <c r="N33" i="5"/>
  <c r="B46" i="5" s="1"/>
  <c r="R39" i="5"/>
  <c r="F49" i="5" s="1"/>
  <c r="N39" i="5"/>
  <c r="B49" i="5" s="1"/>
  <c r="S41" i="5"/>
  <c r="G50" i="5" s="1"/>
  <c r="O41" i="5"/>
  <c r="C50" i="5" s="1"/>
  <c r="M42" i="5"/>
  <c r="S39" i="5"/>
  <c r="G49" i="5" s="1"/>
  <c r="O39" i="5"/>
  <c r="C49" i="5" s="1"/>
  <c r="M40" i="5"/>
  <c r="I44" i="3"/>
  <c r="H72" i="3"/>
  <c r="U39" i="5" l="1"/>
  <c r="I49" i="5" s="1"/>
  <c r="Q39" i="5"/>
  <c r="E49" i="5" s="1"/>
  <c r="Q37" i="5"/>
  <c r="E48" i="5" s="1"/>
  <c r="U37" i="5"/>
  <c r="I48" i="5" s="1"/>
  <c r="U33" i="5"/>
  <c r="I46" i="5" s="1"/>
  <c r="Q33" i="5"/>
  <c r="E46" i="5" s="1"/>
  <c r="U41" i="5"/>
  <c r="I50" i="5" s="1"/>
  <c r="Q41" i="5"/>
  <c r="E50" i="5" s="1"/>
  <c r="U35" i="5"/>
  <c r="I47" i="5" s="1"/>
  <c r="Q35" i="5"/>
  <c r="E47" i="5" s="1"/>
  <c r="J44" i="3"/>
  <c r="I72" i="3"/>
  <c r="K44" i="3" l="1"/>
  <c r="K72" i="3" s="1"/>
  <c r="J72" i="3"/>
  <c r="N36" i="1" l="1"/>
  <c r="M36" i="1"/>
  <c r="N35" i="1"/>
  <c r="M35" i="1"/>
  <c r="N34" i="1"/>
  <c r="M34" i="1"/>
  <c r="M37" i="1" s="1"/>
  <c r="F36" i="1"/>
  <c r="E36" i="1"/>
  <c r="F35" i="1"/>
  <c r="E35" i="1"/>
  <c r="F34" i="1"/>
  <c r="E34" i="1"/>
  <c r="G49" i="1"/>
  <c r="G50" i="1"/>
  <c r="G51" i="1"/>
  <c r="G52" i="1"/>
  <c r="G53" i="1"/>
  <c r="G54" i="1"/>
  <c r="E21" i="1"/>
  <c r="M9" i="1"/>
  <c r="M5" i="1" s="1"/>
  <c r="M4" i="1" s="1"/>
  <c r="N9" i="1"/>
  <c r="N5" i="1" s="1"/>
  <c r="N4" i="1" s="1"/>
  <c r="L5" i="1"/>
  <c r="L4" i="1" s="1"/>
  <c r="H9" i="1"/>
  <c r="H4" i="1" s="1"/>
  <c r="I9" i="1"/>
  <c r="G4" i="1"/>
  <c r="F17" i="1"/>
  <c r="F18" i="1" s="1"/>
  <c r="E37" i="1" l="1"/>
  <c r="O36" i="1"/>
  <c r="G34" i="1"/>
  <c r="O35" i="1"/>
  <c r="O34" i="1"/>
  <c r="O37" i="1" s="1"/>
  <c r="N37" i="1"/>
  <c r="G55" i="1"/>
  <c r="G36" i="1"/>
  <c r="F37" i="1"/>
  <c r="G35" i="1"/>
  <c r="B15" i="1"/>
  <c r="C43" i="1" s="1"/>
  <c r="N29" i="1"/>
  <c r="M29" i="1"/>
  <c r="F29" i="1"/>
  <c r="E29" i="1"/>
  <c r="N28" i="1"/>
  <c r="M28" i="1"/>
  <c r="F28" i="1"/>
  <c r="E28" i="1"/>
  <c r="N27" i="1"/>
  <c r="M27" i="1"/>
  <c r="F27" i="1"/>
  <c r="E27" i="1"/>
  <c r="G37" i="1" l="1"/>
  <c r="M30" i="1"/>
  <c r="C54" i="1"/>
  <c r="C51" i="1"/>
  <c r="C45" i="1"/>
  <c r="C46" i="1"/>
  <c r="C48" i="1"/>
  <c r="C47" i="1"/>
  <c r="C50" i="1"/>
  <c r="C44" i="1"/>
  <c r="C49" i="1"/>
  <c r="C53" i="1"/>
  <c r="C52" i="1"/>
  <c r="O27" i="1"/>
  <c r="G27" i="1"/>
  <c r="G28" i="1"/>
  <c r="E30" i="1"/>
  <c r="O28" i="1"/>
  <c r="F30" i="1"/>
  <c r="O29" i="1"/>
  <c r="G29" i="1"/>
  <c r="N30" i="1"/>
  <c r="O43" i="1" l="1"/>
  <c r="O44" i="1"/>
  <c r="O45" i="1"/>
  <c r="O46" i="1"/>
  <c r="O47" i="1"/>
  <c r="O48" i="1"/>
  <c r="O49" i="1"/>
  <c r="O50" i="1"/>
  <c r="O51" i="1"/>
  <c r="O52" i="1"/>
  <c r="O53" i="1"/>
  <c r="O54" i="1"/>
  <c r="G30" i="1"/>
  <c r="C55" i="1"/>
  <c r="D50" i="1"/>
  <c r="E50" i="1"/>
  <c r="D52" i="1"/>
  <c r="E52" i="1"/>
  <c r="E44" i="1"/>
  <c r="D44" i="1"/>
  <c r="E47" i="1"/>
  <c r="D47" i="1"/>
  <c r="E49" i="1"/>
  <c r="D49" i="1"/>
  <c r="E48" i="1"/>
  <c r="D48" i="1"/>
  <c r="D53" i="1"/>
  <c r="E53" i="1"/>
  <c r="D51" i="1"/>
  <c r="E51" i="1"/>
  <c r="E46" i="1"/>
  <c r="D46" i="1"/>
  <c r="E43" i="1"/>
  <c r="D43" i="1"/>
  <c r="E45" i="1"/>
  <c r="D45" i="1"/>
  <c r="D54" i="1"/>
  <c r="E54" i="1"/>
  <c r="O30" i="1"/>
  <c r="F53" i="1" l="1"/>
  <c r="Q53" i="1" s="1"/>
  <c r="F51" i="1"/>
  <c r="P51" i="1" s="1"/>
  <c r="F49" i="1"/>
  <c r="P49" i="1" s="1"/>
  <c r="F48" i="1"/>
  <c r="Q48" i="1" s="1"/>
  <c r="F46" i="1"/>
  <c r="P46" i="1" s="1"/>
  <c r="F50" i="1"/>
  <c r="P50" i="1" s="1"/>
  <c r="D55" i="1"/>
  <c r="F52" i="1"/>
  <c r="P52" i="1" s="1"/>
  <c r="F54" i="1"/>
  <c r="Q54" i="1" s="1"/>
  <c r="F47" i="1"/>
  <c r="Q47" i="1" s="1"/>
  <c r="F44" i="1"/>
  <c r="P44" i="1" s="1"/>
  <c r="F43" i="1"/>
  <c r="P43" i="1" s="1"/>
  <c r="F45" i="1"/>
  <c r="P45" i="1" s="1"/>
  <c r="E55" i="1"/>
  <c r="Q50" i="1" l="1"/>
  <c r="Q44" i="1"/>
  <c r="Q52" i="1"/>
  <c r="Q43" i="1"/>
  <c r="Q45" i="1"/>
  <c r="Q49" i="1"/>
  <c r="Q51" i="1"/>
  <c r="Q46" i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<sst xmlns="http://schemas.openxmlformats.org/spreadsheetml/2006/main" count="1974" uniqueCount="222">
  <si>
    <t>Design values</t>
  </si>
  <si>
    <t>NaOH M</t>
  </si>
  <si>
    <t>g NaOH in 100mL</t>
  </si>
  <si>
    <t>[NaOH]</t>
  </si>
  <si>
    <t>[CaCO3] g/L</t>
  </si>
  <si>
    <t>pHo</t>
  </si>
  <si>
    <t>[CaCO3] M</t>
  </si>
  <si>
    <t>pHf</t>
  </si>
  <si>
    <t>pH</t>
  </si>
  <si>
    <t>[VFA] g/L</t>
  </si>
  <si>
    <t>pH range</t>
  </si>
  <si>
    <t>NaOH (M)</t>
  </si>
  <si>
    <t>mL 0.05M NaOH in 1L</t>
  </si>
  <si>
    <t>VFA MW g/mol</t>
  </si>
  <si>
    <t>10-10.5</t>
  </si>
  <si>
    <t>[VFA] M</t>
  </si>
  <si>
    <t>8.5-9</t>
  </si>
  <si>
    <t>VFA pKa</t>
  </si>
  <si>
    <t>Assumed values:</t>
  </si>
  <si>
    <t>Inoc TS</t>
  </si>
  <si>
    <t>ORS TS</t>
  </si>
  <si>
    <t>g/L</t>
  </si>
  <si>
    <t>Inoc VS/TS</t>
  </si>
  <si>
    <t>ORS VS/TS</t>
  </si>
  <si>
    <t>Target TS</t>
  </si>
  <si>
    <t>TOTAL</t>
  </si>
  <si>
    <t>S/I gTS/gTS</t>
  </si>
  <si>
    <t>Volume (L)</t>
  </si>
  <si>
    <t>g</t>
  </si>
  <si>
    <t>Measured values</t>
  </si>
  <si>
    <t>ORS</t>
  </si>
  <si>
    <t>Inoculum</t>
  </si>
  <si>
    <t>Crucible (g)</t>
  </si>
  <si>
    <t>sample (g)</t>
  </si>
  <si>
    <t xml:space="preserve">dry(g) </t>
  </si>
  <si>
    <t>burnt (g)</t>
  </si>
  <si>
    <t>TS%</t>
  </si>
  <si>
    <t>VS%</t>
  </si>
  <si>
    <t>VS/TS%</t>
  </si>
  <si>
    <t>AVERAGE</t>
  </si>
  <si>
    <t>Time and date</t>
  </si>
  <si>
    <t xml:space="preserve">Design values </t>
  </si>
  <si>
    <t xml:space="preserve">measured values </t>
  </si>
  <si>
    <t>Conditions</t>
  </si>
  <si>
    <t>Replica</t>
  </si>
  <si>
    <t>ORS (g)</t>
  </si>
  <si>
    <t>Inoc (g)</t>
  </si>
  <si>
    <t>Enzyme (mL)</t>
  </si>
  <si>
    <t>NaOH solution or tap water (g)</t>
  </si>
  <si>
    <t>CaCO3 g</t>
  </si>
  <si>
    <t>Enzyme (g)</t>
  </si>
  <si>
    <t>CaCO3 (g)</t>
  </si>
  <si>
    <t>4M NaOH  droplets (g)</t>
  </si>
  <si>
    <t>content + bottle(g)</t>
  </si>
  <si>
    <t>VS %</t>
  </si>
  <si>
    <t>Initial NaOH mg</t>
  </si>
  <si>
    <t>pH 10 NaOH</t>
  </si>
  <si>
    <t>A1</t>
  </si>
  <si>
    <t>A2</t>
  </si>
  <si>
    <t>pH 8.5 NaOH</t>
  </si>
  <si>
    <t>B1</t>
  </si>
  <si>
    <t>B2</t>
  </si>
  <si>
    <t>pH ? Tap water</t>
  </si>
  <si>
    <t>C1</t>
  </si>
  <si>
    <t>C2</t>
  </si>
  <si>
    <t>pH 10 NaOH + CaCO3</t>
  </si>
  <si>
    <t>D1</t>
  </si>
  <si>
    <t>D2</t>
  </si>
  <si>
    <t>pH 8.5 NaOH + CaCO3</t>
  </si>
  <si>
    <t>E1</t>
  </si>
  <si>
    <t>E2</t>
  </si>
  <si>
    <t>pH ? Tap water + CaCO3</t>
  </si>
  <si>
    <t>F1</t>
  </si>
  <si>
    <t>F2</t>
  </si>
  <si>
    <t>Time</t>
  </si>
  <si>
    <t>Inoculation</t>
  </si>
  <si>
    <t>Incubation</t>
  </si>
  <si>
    <t>Date</t>
  </si>
  <si>
    <t>time</t>
  </si>
  <si>
    <t>pH reading</t>
  </si>
  <si>
    <t>time (days)</t>
  </si>
  <si>
    <t>Initial pH</t>
  </si>
  <si>
    <t>final pH</t>
  </si>
  <si>
    <t>pH reading/time</t>
  </si>
  <si>
    <t xml:space="preserve">pH 10 </t>
  </si>
  <si>
    <t>pH 8.5</t>
  </si>
  <si>
    <t xml:space="preserve">pH 7 </t>
  </si>
  <si>
    <t>pH 10 + CaCO3</t>
  </si>
  <si>
    <t>pH 8.5 + CaCO3</t>
  </si>
  <si>
    <t>pH 7 + CaCO3</t>
  </si>
  <si>
    <t>average pH</t>
  </si>
  <si>
    <t>NaOH 4M drops</t>
  </si>
  <si>
    <t>Cumulative NaOH 4M drops</t>
  </si>
  <si>
    <t>initial pH</t>
  </si>
  <si>
    <t>A</t>
  </si>
  <si>
    <t>B</t>
  </si>
  <si>
    <t>C</t>
  </si>
  <si>
    <t>D</t>
  </si>
  <si>
    <t>E</t>
  </si>
  <si>
    <t>F</t>
  </si>
  <si>
    <t>Mass before sampling (g)</t>
  </si>
  <si>
    <t>Replica/day</t>
  </si>
  <si>
    <t>Mass after sampling (g)</t>
  </si>
  <si>
    <t>Standardization</t>
  </si>
  <si>
    <t>mL H2SO4</t>
  </si>
  <si>
    <t>Molarity</t>
  </si>
  <si>
    <t>N</t>
  </si>
  <si>
    <t>DAY 2</t>
  </si>
  <si>
    <t>STD</t>
  </si>
  <si>
    <t>Reactor</t>
  </si>
  <si>
    <t>Conc (N)</t>
  </si>
  <si>
    <t xml:space="preserve">C. factor </t>
  </si>
  <si>
    <t>Sample (mL)</t>
  </si>
  <si>
    <t xml:space="preserve">Dilution </t>
  </si>
  <si>
    <t>pH initial</t>
  </si>
  <si>
    <t>V5.7 (mL)</t>
  </si>
  <si>
    <t>V4.3 (mL)</t>
  </si>
  <si>
    <t>V4.0 (mL)</t>
  </si>
  <si>
    <t>TA (mg/L)</t>
  </si>
  <si>
    <t>PA (mg/L)</t>
  </si>
  <si>
    <t>IA (mg/L)</t>
  </si>
  <si>
    <t>IA/PA</t>
  </si>
  <si>
    <t>DAY 4</t>
  </si>
  <si>
    <t>DAY 6</t>
  </si>
  <si>
    <t>Average</t>
  </si>
  <si>
    <t>DAY 8</t>
  </si>
  <si>
    <t>SUMMARY</t>
  </si>
  <si>
    <t>TOTAL alkanlinity (mg/L)</t>
  </si>
  <si>
    <t>PARTIAL alkanlinity (mg/L)</t>
  </si>
  <si>
    <t>INTERMEDIATE alkanlinity (mg/L)</t>
  </si>
  <si>
    <t>Time (days)</t>
  </si>
  <si>
    <t>solid samples</t>
  </si>
  <si>
    <t>liquid samples</t>
  </si>
  <si>
    <t>on Day 8</t>
  </si>
  <si>
    <t>Crucible</t>
  </si>
  <si>
    <t>sample</t>
  </si>
  <si>
    <t xml:space="preserve">dry </t>
  </si>
  <si>
    <t xml:space="preserve">burnt </t>
  </si>
  <si>
    <t>VFA concentration (g COD/L)</t>
  </si>
  <si>
    <t>VFAyield (g COD/g VS)</t>
  </si>
  <si>
    <t>%</t>
  </si>
  <si>
    <t>Reactor/ time (days)</t>
  </si>
  <si>
    <t>AcH</t>
  </si>
  <si>
    <t>PrH</t>
  </si>
  <si>
    <t>i-BuH</t>
  </si>
  <si>
    <t>BuH</t>
  </si>
  <si>
    <t>i-VaH</t>
  </si>
  <si>
    <t>VaH</t>
  </si>
  <si>
    <t>HexH</t>
  </si>
  <si>
    <t>HepH</t>
  </si>
  <si>
    <t>day 8</t>
  </si>
  <si>
    <t>AVERAGE OF REPLICAS</t>
  </si>
  <si>
    <t>yield STD (g COD/g VS)</t>
  </si>
  <si>
    <t xml:space="preserve">Reactor </t>
  </si>
  <si>
    <t>VFA concentration (g/L)</t>
  </si>
  <si>
    <t>VFAyield (g/g VS)</t>
  </si>
  <si>
    <t>STANDARDS</t>
  </si>
  <si>
    <t xml:space="preserve">50 ppm </t>
  </si>
  <si>
    <t xml:space="preserve">250 ppm </t>
  </si>
  <si>
    <t xml:space="preserve">500 ppm </t>
  </si>
  <si>
    <t>Compound</t>
  </si>
  <si>
    <t xml:space="preserve">RT </t>
  </si>
  <si>
    <t>area</t>
  </si>
  <si>
    <t>actual ppm</t>
  </si>
  <si>
    <t>R2</t>
  </si>
  <si>
    <t xml:space="preserve">Sample </t>
  </si>
  <si>
    <t xml:space="preserve">area </t>
  </si>
  <si>
    <t>dil factor</t>
  </si>
  <si>
    <t>ppm</t>
  </si>
  <si>
    <t>g COD/L</t>
  </si>
  <si>
    <t>g TOC/L</t>
  </si>
  <si>
    <t>TOTAL=</t>
  </si>
  <si>
    <t>Injection volumes</t>
  </si>
  <si>
    <t>normalisation ratio</t>
  </si>
  <si>
    <t>standards</t>
  </si>
  <si>
    <t>TOTAL CARBON (TC)</t>
  </si>
  <si>
    <t>INORGANIC CARBON (IC)</t>
  </si>
  <si>
    <t>Normalised area</t>
  </si>
  <si>
    <t>Area</t>
  </si>
  <si>
    <t>Conc. Ppm</t>
  </si>
  <si>
    <t>Slope</t>
  </si>
  <si>
    <t>Intercept</t>
  </si>
  <si>
    <t>Calculated</t>
  </si>
  <si>
    <t>Machine</t>
  </si>
  <si>
    <t>Output (area)</t>
  </si>
  <si>
    <t xml:space="preserve">Dil </t>
  </si>
  <si>
    <t>Output (conc)</t>
  </si>
  <si>
    <t xml:space="preserve">Input </t>
  </si>
  <si>
    <t>Dil.</t>
  </si>
  <si>
    <t>TOC</t>
  </si>
  <si>
    <t xml:space="preserve">TOC </t>
  </si>
  <si>
    <t>Glucose</t>
  </si>
  <si>
    <t>BLANKS</t>
  </si>
  <si>
    <t xml:space="preserve">Conc </t>
  </si>
  <si>
    <t>dil</t>
  </si>
  <si>
    <t>Conc</t>
  </si>
  <si>
    <t>Conc (mg/L)</t>
  </si>
  <si>
    <t>mg/L</t>
  </si>
  <si>
    <t>Sample</t>
  </si>
  <si>
    <t>TC</t>
  </si>
  <si>
    <t>IC</t>
  </si>
  <si>
    <t>Actual TOC</t>
  </si>
  <si>
    <t>TOC from VFA</t>
  </si>
  <si>
    <t>Actual TOC from VFA</t>
  </si>
  <si>
    <t>Acid. Degree (%)</t>
  </si>
  <si>
    <t xml:space="preserve">avg. </t>
  </si>
  <si>
    <t>TOC results from machine</t>
  </si>
  <si>
    <t xml:space="preserve">Check standards </t>
  </si>
  <si>
    <t>Concentration g/L</t>
  </si>
  <si>
    <t>% (w/w)</t>
  </si>
  <si>
    <t>DIFFERENCE</t>
  </si>
  <si>
    <t>Amylase</t>
  </si>
  <si>
    <t>Complex A</t>
  </si>
  <si>
    <t xml:space="preserve">pH ? Tap water </t>
  </si>
  <si>
    <t>solution g/L</t>
  </si>
  <si>
    <t>TOTAL g/L</t>
  </si>
  <si>
    <t>Enzyme loading</t>
  </si>
  <si>
    <t>Complex A fraction</t>
  </si>
  <si>
    <t>Amylase fraction</t>
  </si>
  <si>
    <t>CaCO3 concentration</t>
  </si>
  <si>
    <t>CaCO3 mass</t>
  </si>
  <si>
    <t>Difference from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</si>
</sst>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E+00"/>
    <numFmt numFmtId="165" formatCode="0.0%"/>
    <numFmt numFmtId="166" formatCode="0.0"/>
    <numFmt numFmtId="167" formatCode="0.000000"/>
    <numFmt numFmtId="168" formatCode="0.0000"/>
    <numFmt numFmtId="169" formatCode="0.000"/>
    <numFmt numFmtId="170" formatCode="0.0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5"/>
      <color theme="3"/>
      <name val="Arial"/>
      <family val="2"/>
    </font>
    <font>
      <b/>
      <sz val="11"/>
      <color rgb="FFFF0000"/>
      <name val="Calibri"/>
      <family val="2"/>
      <scheme val="minor"/>
    </font>
    <font>
      <sz val="12"/>
      <color rgb="FF3F3F76"/>
      <name val="Arial"/>
      <family val="2"/>
    </font>
    <font>
      <sz val="12"/>
      <color rgb="FF9C6500"/>
      <name val="Arial"/>
      <family val="2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5" fillId="0" borderId="9" applyNumberFormat="0" applyFill="0" applyAlignment="0" applyProtection="0"/>
    <xf numFmtId="0" fontId="7" fillId="6" borderId="10" applyNumberFormat="0" applyAlignment="0" applyProtection="0"/>
    <xf numFmtId="0" fontId="8" fillId="5" borderId="0" applyNumberFormat="0" applyBorder="0" applyAlignment="0" applyProtection="0"/>
  </cellStyleXfs>
  <cellXfs count="169">
    <xf numFmtId="0" fontId="0" fillId="0" borderId="0" xfId="0"/>
    <xf numFmtId="164" fontId="0" fillId="0" borderId="0" xfId="0" applyNumberFormat="1"/>
    <xf numFmtId="0" fontId="3" fillId="0" borderId="0" xfId="0" applyFont="1"/>
    <xf numFmtId="2" fontId="3" fillId="0" borderId="0" xfId="0" applyNumberFormat="1" applyFont="1"/>
    <xf numFmtId="14" fontId="0" fillId="0" borderId="0" xfId="0" applyNumberFormat="1"/>
    <xf numFmtId="20" fontId="0" fillId="0" borderId="0" xfId="0" applyNumberFormat="1"/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0" fillId="0" borderId="4" xfId="0" applyBorder="1"/>
    <xf numFmtId="166" fontId="0" fillId="0" borderId="5" xfId="0" applyNumberFormat="1" applyBorder="1" applyAlignment="1">
      <alignment horizontal="left"/>
    </xf>
    <xf numFmtId="0" fontId="0" fillId="0" borderId="5" xfId="0" applyBorder="1"/>
    <xf numFmtId="0" fontId="0" fillId="3" borderId="0" xfId="0" applyFill="1"/>
    <xf numFmtId="166" fontId="3" fillId="0" borderId="0" xfId="0" applyNumberFormat="1" applyFont="1"/>
    <xf numFmtId="0" fontId="3" fillId="0" borderId="0" xfId="0" applyFont="1" applyAlignment="1">
      <alignment wrapText="1"/>
    </xf>
    <xf numFmtId="166" fontId="0" fillId="0" borderId="0" xfId="0" applyNumberFormat="1" applyAlignment="1">
      <alignment horizontal="left"/>
    </xf>
    <xf numFmtId="166" fontId="0" fillId="0" borderId="0" xfId="0" applyNumberFormat="1"/>
    <xf numFmtId="0" fontId="0" fillId="0" borderId="6" xfId="0" applyBorder="1"/>
    <xf numFmtId="166" fontId="0" fillId="0" borderId="7" xfId="0" applyNumberFormat="1" applyBorder="1"/>
    <xf numFmtId="0" fontId="0" fillId="0" borderId="7" xfId="0" applyBorder="1"/>
    <xf numFmtId="166" fontId="0" fillId="0" borderId="7" xfId="0" applyNumberFormat="1" applyBorder="1" applyAlignment="1">
      <alignment horizontal="left"/>
    </xf>
    <xf numFmtId="0" fontId="0" fillId="0" borderId="8" xfId="0" applyBorder="1"/>
    <xf numFmtId="2" fontId="0" fillId="0" borderId="5" xfId="0" applyNumberFormat="1" applyBorder="1" applyAlignment="1">
      <alignment horizontal="left"/>
    </xf>
    <xf numFmtId="2" fontId="0" fillId="0" borderId="8" xfId="0" applyNumberFormat="1" applyBorder="1" applyAlignment="1">
      <alignment horizontal="left"/>
    </xf>
    <xf numFmtId="0" fontId="0" fillId="0" borderId="2" xfId="0" applyBorder="1"/>
    <xf numFmtId="0" fontId="0" fillId="0" borderId="3" xfId="0" applyBorder="1"/>
    <xf numFmtId="0" fontId="0" fillId="7" borderId="0" xfId="0" applyFill="1"/>
    <xf numFmtId="20" fontId="0" fillId="7" borderId="0" xfId="0" applyNumberFormat="1" applyFill="1"/>
    <xf numFmtId="0" fontId="3" fillId="0" borderId="1" xfId="0" applyFont="1" applyBorder="1" applyAlignment="1">
      <alignment wrapText="1"/>
    </xf>
    <xf numFmtId="166" fontId="0" fillId="0" borderId="4" xfId="0" applyNumberFormat="1" applyBorder="1"/>
    <xf numFmtId="166" fontId="0" fillId="0" borderId="6" xfId="0" applyNumberFormat="1" applyBorder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6" xfId="0" applyFont="1" applyBorder="1"/>
    <xf numFmtId="167" fontId="0" fillId="0" borderId="5" xfId="0" applyNumberFormat="1" applyBorder="1"/>
    <xf numFmtId="167" fontId="0" fillId="0" borderId="8" xfId="0" applyNumberFormat="1" applyBorder="1"/>
    <xf numFmtId="167" fontId="0" fillId="0" borderId="0" xfId="0" applyNumberFormat="1"/>
    <xf numFmtId="0" fontId="3" fillId="0" borderId="4" xfId="0" applyFont="1" applyBorder="1" applyAlignment="1">
      <alignment vertical="center" wrapText="1"/>
    </xf>
    <xf numFmtId="169" fontId="0" fillId="0" borderId="0" xfId="0" applyNumberFormat="1"/>
    <xf numFmtId="2" fontId="0" fillId="0" borderId="0" xfId="0" applyNumberFormat="1"/>
    <xf numFmtId="2" fontId="0" fillId="0" borderId="7" xfId="0" applyNumberFormat="1" applyBorder="1"/>
    <xf numFmtId="0" fontId="6" fillId="0" borderId="0" xfId="0" applyFont="1"/>
    <xf numFmtId="10" fontId="0" fillId="0" borderId="0" xfId="1" applyNumberFormat="1" applyFont="1"/>
    <xf numFmtId="0" fontId="7" fillId="6" borderId="10" xfId="4"/>
    <xf numFmtId="0" fontId="8" fillId="5" borderId="0" xfId="5"/>
    <xf numFmtId="165" fontId="0" fillId="0" borderId="0" xfId="1" applyNumberFormat="1" applyFont="1"/>
    <xf numFmtId="10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Alignment="1">
      <alignment wrapText="1"/>
    </xf>
    <xf numFmtId="0" fontId="3" fillId="9" borderId="12" xfId="0" applyFont="1" applyFill="1" applyBorder="1"/>
    <xf numFmtId="0" fontId="0" fillId="9" borderId="12" xfId="0" applyFill="1" applyBorder="1"/>
    <xf numFmtId="0" fontId="3" fillId="8" borderId="12" xfId="0" applyFont="1" applyFill="1" applyBorder="1"/>
    <xf numFmtId="0" fontId="0" fillId="8" borderId="12" xfId="0" applyFill="1" applyBorder="1"/>
    <xf numFmtId="0" fontId="3" fillId="10" borderId="0" xfId="0" applyFont="1" applyFill="1"/>
    <xf numFmtId="0" fontId="3" fillId="4" borderId="12" xfId="0" applyFont="1" applyFill="1" applyBorder="1"/>
    <xf numFmtId="170" fontId="0" fillId="0" borderId="0" xfId="0" applyNumberFormat="1"/>
    <xf numFmtId="0" fontId="0" fillId="10" borderId="0" xfId="0" applyFill="1"/>
    <xf numFmtId="0" fontId="0" fillId="4" borderId="12" xfId="0" applyFill="1" applyBorder="1"/>
    <xf numFmtId="0" fontId="9" fillId="0" borderId="0" xfId="0" applyFont="1"/>
    <xf numFmtId="169" fontId="3" fillId="0" borderId="0" xfId="0" applyNumberFormat="1" applyFont="1"/>
    <xf numFmtId="0" fontId="3" fillId="11" borderId="0" xfId="0" applyFont="1" applyFill="1"/>
    <xf numFmtId="169" fontId="3" fillId="11" borderId="0" xfId="0" applyNumberFormat="1" applyFont="1" applyFill="1"/>
    <xf numFmtId="0" fontId="3" fillId="0" borderId="12" xfId="0" applyFont="1" applyBorder="1"/>
    <xf numFmtId="0" fontId="3" fillId="13" borderId="12" xfId="0" applyFont="1" applyFill="1" applyBorder="1"/>
    <xf numFmtId="0" fontId="0" fillId="13" borderId="0" xfId="0" applyFill="1"/>
    <xf numFmtId="10" fontId="0" fillId="0" borderId="14" xfId="1" applyNumberFormat="1" applyFont="1" applyBorder="1"/>
    <xf numFmtId="10" fontId="0" fillId="0" borderId="12" xfId="1" applyNumberFormat="1" applyFont="1" applyBorder="1"/>
    <xf numFmtId="10" fontId="0" fillId="0" borderId="2" xfId="0" applyNumberFormat="1" applyBorder="1"/>
    <xf numFmtId="10" fontId="0" fillId="0" borderId="3" xfId="0" applyNumberFormat="1" applyBorder="1"/>
    <xf numFmtId="10" fontId="0" fillId="0" borderId="5" xfId="0" applyNumberFormat="1" applyBorder="1"/>
    <xf numFmtId="10" fontId="0" fillId="0" borderId="7" xfId="0" applyNumberFormat="1" applyBorder="1"/>
    <xf numFmtId="10" fontId="0" fillId="0" borderId="8" xfId="0" applyNumberFormat="1" applyBorder="1"/>
    <xf numFmtId="0" fontId="3" fillId="0" borderId="0" xfId="0" applyFont="1" applyBorder="1"/>
    <xf numFmtId="0" fontId="3" fillId="0" borderId="5" xfId="0" applyFont="1" applyBorder="1"/>
    <xf numFmtId="2" fontId="0" fillId="0" borderId="0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0" fillId="4" borderId="5" xfId="0" applyNumberFormat="1" applyFill="1" applyBorder="1"/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0" fillId="0" borderId="0" xfId="0" applyBorder="1"/>
    <xf numFmtId="166" fontId="0" fillId="0" borderId="0" xfId="0" applyNumberFormat="1" applyBorder="1"/>
    <xf numFmtId="0" fontId="4" fillId="0" borderId="0" xfId="0" applyFont="1" applyAlignment="1"/>
    <xf numFmtId="0" fontId="3" fillId="8" borderId="12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0" fontId="0" fillId="0" borderId="12" xfId="1" applyNumberFormat="1" applyFont="1" applyFill="1" applyBorder="1"/>
    <xf numFmtId="0" fontId="0" fillId="0" borderId="12" xfId="0" applyBorder="1"/>
    <xf numFmtId="165" fontId="0" fillId="0" borderId="12" xfId="1" applyNumberFormat="1" applyFont="1" applyFill="1" applyBorder="1"/>
    <xf numFmtId="10" fontId="3" fillId="0" borderId="12" xfId="1" applyNumberFormat="1" applyFont="1" applyFill="1" applyBorder="1"/>
    <xf numFmtId="169" fontId="0" fillId="0" borderId="12" xfId="0" applyNumberFormat="1" applyBorder="1"/>
    <xf numFmtId="168" fontId="0" fillId="0" borderId="12" xfId="0" applyNumberFormat="1" applyBorder="1"/>
    <xf numFmtId="164" fontId="0" fillId="0" borderId="12" xfId="0" applyNumberFormat="1" applyBorder="1"/>
    <xf numFmtId="9" fontId="2" fillId="2" borderId="12" xfId="2" applyNumberFormat="1" applyBorder="1"/>
    <xf numFmtId="0" fontId="2" fillId="2" borderId="12" xfId="2" applyBorder="1"/>
    <xf numFmtId="2" fontId="3" fillId="0" borderId="12" xfId="0" applyNumberFormat="1" applyFont="1" applyBorder="1"/>
    <xf numFmtId="0" fontId="3" fillId="3" borderId="12" xfId="0" applyFont="1" applyFill="1" applyBorder="1"/>
    <xf numFmtId="9" fontId="0" fillId="3" borderId="12" xfId="0" applyNumberFormat="1" applyFill="1" applyBorder="1"/>
    <xf numFmtId="10" fontId="0" fillId="3" borderId="12" xfId="0" applyNumberFormat="1" applyFill="1" applyBorder="1"/>
    <xf numFmtId="9" fontId="0" fillId="3" borderId="12" xfId="1" applyFont="1" applyFill="1" applyBorder="1"/>
    <xf numFmtId="0" fontId="0" fillId="3" borderId="12" xfId="0" applyFill="1" applyBorder="1"/>
    <xf numFmtId="0" fontId="0" fillId="0" borderId="1" xfId="0" applyBorder="1"/>
    <xf numFmtId="166" fontId="0" fillId="0" borderId="5" xfId="0" applyNumberFormat="1" applyBorder="1"/>
    <xf numFmtId="166" fontId="0" fillId="0" borderId="8" xfId="0" applyNumberFormat="1" applyBorder="1"/>
    <xf numFmtId="10" fontId="0" fillId="0" borderId="0" xfId="0" applyNumberFormat="1" applyBorder="1"/>
    <xf numFmtId="168" fontId="0" fillId="0" borderId="0" xfId="0" applyNumberFormat="1" applyBorder="1"/>
    <xf numFmtId="10" fontId="0" fillId="0" borderId="2" xfId="1" applyNumberFormat="1" applyFont="1" applyBorder="1"/>
    <xf numFmtId="10" fontId="0" fillId="0" borderId="0" xfId="1" applyNumberFormat="1" applyFont="1" applyBorder="1"/>
    <xf numFmtId="0" fontId="3" fillId="0" borderId="0" xfId="0" applyNumberFormat="1" applyFont="1" applyBorder="1"/>
    <xf numFmtId="0" fontId="0" fillId="0" borderId="0" xfId="1" applyNumberFormat="1" applyFont="1" applyBorder="1"/>
    <xf numFmtId="2" fontId="0" fillId="0" borderId="0" xfId="1" applyNumberFormat="1" applyFont="1" applyBorder="1"/>
    <xf numFmtId="0" fontId="0" fillId="0" borderId="0" xfId="0" applyNumberFormat="1" applyBorder="1"/>
    <xf numFmtId="165" fontId="0" fillId="0" borderId="0" xfId="1" applyNumberFormat="1" applyFont="1" applyBorder="1"/>
    <xf numFmtId="0" fontId="3" fillId="0" borderId="7" xfId="0" applyFont="1" applyBorder="1"/>
    <xf numFmtId="167" fontId="0" fillId="0" borderId="0" xfId="0" applyNumberFormat="1" applyBorder="1"/>
    <xf numFmtId="2" fontId="0" fillId="0" borderId="2" xfId="1" applyNumberFormat="1" applyFont="1" applyBorder="1"/>
    <xf numFmtId="2" fontId="0" fillId="0" borderId="3" xfId="1" applyNumberFormat="1" applyFont="1" applyBorder="1"/>
    <xf numFmtId="2" fontId="0" fillId="0" borderId="5" xfId="1" applyNumberFormat="1" applyFont="1" applyBorder="1"/>
    <xf numFmtId="2" fontId="0" fillId="0" borderId="7" xfId="1" applyNumberFormat="1" applyFont="1" applyBorder="1"/>
    <xf numFmtId="2" fontId="0" fillId="0" borderId="8" xfId="1" applyNumberFormat="1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10" fontId="0" fillId="0" borderId="3" xfId="1" applyNumberFormat="1" applyFont="1" applyBorder="1"/>
    <xf numFmtId="10" fontId="0" fillId="0" borderId="5" xfId="1" applyNumberFormat="1" applyFont="1" applyBorder="1"/>
    <xf numFmtId="10" fontId="0" fillId="0" borderId="7" xfId="1" applyNumberFormat="1" applyFont="1" applyBorder="1"/>
    <xf numFmtId="10" fontId="0" fillId="0" borderId="8" xfId="1" applyNumberFormat="1" applyFont="1" applyBorder="1"/>
    <xf numFmtId="0" fontId="0" fillId="0" borderId="19" xfId="0" applyBorder="1"/>
    <xf numFmtId="0" fontId="3" fillId="0" borderId="20" xfId="0" applyFont="1" applyBorder="1"/>
    <xf numFmtId="0" fontId="3" fillId="0" borderId="21" xfId="0" applyFont="1" applyBorder="1"/>
    <xf numFmtId="0" fontId="3" fillId="0" borderId="19" xfId="0" applyFont="1" applyBorder="1"/>
    <xf numFmtId="0" fontId="5" fillId="0" borderId="9" xfId="3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9" xfId="3" applyFill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0" fontId="3" fillId="8" borderId="0" xfId="0" applyFont="1" applyFill="1" applyAlignment="1">
      <alignment horizontal="center"/>
    </xf>
    <xf numFmtId="0" fontId="0" fillId="0" borderId="15" xfId="1" applyNumberFormat="1" applyFont="1" applyBorder="1" applyAlignment="1">
      <alignment horizontal="center" vertical="center"/>
    </xf>
    <xf numFmtId="0" fontId="0" fillId="0" borderId="14" xfId="1" applyNumberFormat="1" applyFont="1" applyBorder="1" applyAlignment="1">
      <alignment horizontal="center" vertical="center"/>
    </xf>
    <xf numFmtId="0" fontId="9" fillId="0" borderId="15" xfId="1" applyNumberFormat="1" applyFont="1" applyBorder="1" applyAlignment="1">
      <alignment horizontal="center" vertical="center"/>
    </xf>
    <xf numFmtId="0" fontId="9" fillId="0" borderId="14" xfId="1" applyNumberFormat="1" applyFont="1" applyBorder="1" applyAlignment="1">
      <alignment horizontal="center" vertical="center"/>
    </xf>
    <xf numFmtId="10" fontId="0" fillId="0" borderId="15" xfId="1" applyNumberFormat="1" applyFont="1" applyBorder="1" applyAlignment="1">
      <alignment horizontal="center" vertical="center"/>
    </xf>
    <xf numFmtId="10" fontId="0" fillId="0" borderId="14" xfId="1" applyNumberFormat="1" applyFont="1" applyBorder="1" applyAlignment="1">
      <alignment horizontal="center" vertical="center"/>
    </xf>
    <xf numFmtId="10" fontId="0" fillId="0" borderId="13" xfId="1" applyNumberFormat="1" applyFont="1" applyBorder="1" applyAlignment="1">
      <alignment horizontal="center" vertical="center"/>
    </xf>
    <xf numFmtId="10" fontId="0" fillId="0" borderId="12" xfId="1" applyNumberFormat="1" applyFont="1" applyBorder="1" applyAlignment="1">
      <alignment horizontal="center" vertical="center"/>
    </xf>
    <xf numFmtId="0" fontId="0" fillId="7" borderId="0" xfId="0" applyFill="1" applyAlignment="1">
      <alignment horizontal="center"/>
    </xf>
    <xf numFmtId="0" fontId="3" fillId="12" borderId="0" xfId="0" applyFont="1" applyFill="1" applyAlignment="1">
      <alignment horizontal="center"/>
    </xf>
    <xf numFmtId="0" fontId="0" fillId="0" borderId="13" xfId="1" applyNumberFormat="1" applyFont="1" applyBorder="1" applyAlignment="1">
      <alignment horizontal="center" vertical="center"/>
    </xf>
    <xf numFmtId="0" fontId="9" fillId="0" borderId="13" xfId="1" applyNumberFormat="1" applyFont="1" applyBorder="1" applyAlignment="1">
      <alignment horizontal="center" vertical="center"/>
    </xf>
  </cellXfs>
  <cellStyles count="6">
    <cellStyle name="Bad" xfId="2" builtinId="27"/>
    <cellStyle name="Heading 1 2" xfId="3" xr:uid="{4A86F01B-B48B-4A60-B5DB-7C53145AA7D3}"/>
    <cellStyle name="Input 2" xfId="4" xr:uid="{40CD6FA2-4793-48E4-9F33-8F4E29FA6FF2}"/>
    <cellStyle name="Neutral 2" xfId="5" xr:uid="{86D54553-DEB5-44A7-9EFC-B903E70564C1}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Cumulative NaOH drops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Lit>
              <c:formatCode>General</c:formatCode>
              <c:ptCount val="9"/>
              <c:pt idx="0">
                <c:v>0</c:v>
              </c:pt>
              <c:pt idx="1">
                <c:v>0.84375000000000011</c:v>
              </c:pt>
              <c:pt idx="2">
                <c:v>1.885416666666667</c:v>
              </c:pt>
              <c:pt idx="3">
                <c:v>2.8437500000000004</c:v>
              </c:pt>
              <c:pt idx="4">
                <c:v>3.8645833333333335</c:v>
              </c:pt>
              <c:pt idx="5">
                <c:v>4.864583333333333</c:v>
              </c:pt>
              <c:pt idx="6">
                <c:v>5.875</c:v>
              </c:pt>
              <c:pt idx="7">
                <c:v>6.864583333333333</c:v>
              </c:pt>
              <c:pt idx="8">
                <c:v>7.885416666666667</c:v>
              </c:pt>
            </c:numLit>
          </c:xVal>
          <c:yVal>
            <c:numLit>
              <c:formatCode>General</c:formatCode>
              <c:ptCount val="9"/>
              <c:pt idx="0">
                <c:v>23</c:v>
              </c:pt>
              <c:pt idx="1">
                <c:v>98</c:v>
              </c:pt>
              <c:pt idx="2">
                <c:v>117.5</c:v>
              </c:pt>
              <c:pt idx="3">
                <c:v>139</c:v>
              </c:pt>
              <c:pt idx="4">
                <c:v>150.5</c:v>
              </c:pt>
              <c:pt idx="5">
                <c:v>162.5</c:v>
              </c:pt>
              <c:pt idx="6">
                <c:v>172.5</c:v>
              </c:pt>
              <c:pt idx="7">
                <c:v>182.5</c:v>
              </c:pt>
              <c:pt idx="8">
                <c:v>182.5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B5C-4B8A-B71C-73DC003C4139}"/>
            </c:ext>
          </c:extLst>
        </c:ser>
        <c:ser>
          <c:idx val="1"/>
          <c:order val="1"/>
          <c:tx>
            <c:v>B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Lit>
              <c:formatCode>General</c:formatCode>
              <c:ptCount val="9"/>
              <c:pt idx="0">
                <c:v>0</c:v>
              </c:pt>
              <c:pt idx="1">
                <c:v>0.84375000000000011</c:v>
              </c:pt>
              <c:pt idx="2">
                <c:v>1.885416666666667</c:v>
              </c:pt>
              <c:pt idx="3">
                <c:v>2.8437500000000004</c:v>
              </c:pt>
              <c:pt idx="4">
                <c:v>3.8645833333333335</c:v>
              </c:pt>
              <c:pt idx="5">
                <c:v>4.864583333333333</c:v>
              </c:pt>
              <c:pt idx="6">
                <c:v>5.875</c:v>
              </c:pt>
              <c:pt idx="7">
                <c:v>6.864583333333333</c:v>
              </c:pt>
              <c:pt idx="8">
                <c:v>7.885416666666667</c:v>
              </c:pt>
            </c:numLit>
          </c:xVal>
          <c:yVal>
            <c:numLit>
              <c:formatCode>General</c:formatCode>
              <c:ptCount val="9"/>
              <c:pt idx="0">
                <c:v>4</c:v>
              </c:pt>
              <c:pt idx="1">
                <c:v>71.5</c:v>
              </c:pt>
              <c:pt idx="2">
                <c:v>99</c:v>
              </c:pt>
              <c:pt idx="3">
                <c:v>113</c:v>
              </c:pt>
              <c:pt idx="4">
                <c:v>123.5</c:v>
              </c:pt>
              <c:pt idx="5">
                <c:v>137</c:v>
              </c:pt>
              <c:pt idx="6">
                <c:v>152.5</c:v>
              </c:pt>
              <c:pt idx="7">
                <c:v>172.5</c:v>
              </c:pt>
              <c:pt idx="8">
                <c:v>172.5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9B5C-4B8A-B71C-73DC003C4139}"/>
            </c:ext>
          </c:extLst>
        </c:ser>
        <c:ser>
          <c:idx val="2"/>
          <c:order val="2"/>
          <c:tx>
            <c:v>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Lit>
              <c:formatCode>General</c:formatCode>
              <c:ptCount val="9"/>
              <c:pt idx="0">
                <c:v>0</c:v>
              </c:pt>
              <c:pt idx="1">
                <c:v>0.84375000000000011</c:v>
              </c:pt>
              <c:pt idx="2">
                <c:v>1.885416666666667</c:v>
              </c:pt>
              <c:pt idx="3">
                <c:v>2.8437500000000004</c:v>
              </c:pt>
              <c:pt idx="4">
                <c:v>3.8645833333333335</c:v>
              </c:pt>
              <c:pt idx="5">
                <c:v>4.864583333333333</c:v>
              </c:pt>
              <c:pt idx="6">
                <c:v>5.875</c:v>
              </c:pt>
              <c:pt idx="7">
                <c:v>6.864583333333333</c:v>
              </c:pt>
              <c:pt idx="8">
                <c:v>7.885416666666667</c:v>
              </c:pt>
            </c:numLit>
          </c:xVal>
          <c:yVal>
            <c:numLit>
              <c:formatCode>General</c:formatCode>
              <c:ptCount val="9"/>
              <c:pt idx="0">
                <c:v>0</c:v>
              </c:pt>
              <c:pt idx="1">
                <c:v>49</c:v>
              </c:pt>
              <c:pt idx="2">
                <c:v>63</c:v>
              </c:pt>
              <c:pt idx="3">
                <c:v>70</c:v>
              </c:pt>
              <c:pt idx="4">
                <c:v>72</c:v>
              </c:pt>
              <c:pt idx="5">
                <c:v>82.5</c:v>
              </c:pt>
              <c:pt idx="6">
                <c:v>102.5</c:v>
              </c:pt>
              <c:pt idx="7">
                <c:v>108</c:v>
              </c:pt>
              <c:pt idx="8">
                <c:v>108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9B5C-4B8A-B71C-73DC003C4139}"/>
            </c:ext>
          </c:extLst>
        </c:ser>
        <c:ser>
          <c:idx val="3"/>
          <c:order val="3"/>
          <c:tx>
            <c:v>D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Lit>
              <c:formatCode>General</c:formatCode>
              <c:ptCount val="9"/>
              <c:pt idx="0">
                <c:v>0</c:v>
              </c:pt>
              <c:pt idx="1">
                <c:v>0.84375000000000011</c:v>
              </c:pt>
              <c:pt idx="2">
                <c:v>1.885416666666667</c:v>
              </c:pt>
              <c:pt idx="3">
                <c:v>2.8437500000000004</c:v>
              </c:pt>
              <c:pt idx="4">
                <c:v>3.8645833333333335</c:v>
              </c:pt>
              <c:pt idx="5">
                <c:v>4.864583333333333</c:v>
              </c:pt>
              <c:pt idx="6">
                <c:v>5.875</c:v>
              </c:pt>
              <c:pt idx="7">
                <c:v>6.864583333333333</c:v>
              </c:pt>
              <c:pt idx="8">
                <c:v>7.885416666666667</c:v>
              </c:pt>
            </c:numLit>
          </c:xVal>
          <c:yVal>
            <c:numLit>
              <c:formatCode>General</c:formatCode>
              <c:ptCount val="9"/>
              <c:pt idx="0">
                <c:v>23</c:v>
              </c:pt>
              <c:pt idx="1">
                <c:v>95.5</c:v>
              </c:pt>
              <c:pt idx="2">
                <c:v>112</c:v>
              </c:pt>
              <c:pt idx="3">
                <c:v>132</c:v>
              </c:pt>
              <c:pt idx="4">
                <c:v>146</c:v>
              </c:pt>
              <c:pt idx="5">
                <c:v>157.5</c:v>
              </c:pt>
              <c:pt idx="6">
                <c:v>164.5</c:v>
              </c:pt>
              <c:pt idx="7">
                <c:v>175.5</c:v>
              </c:pt>
              <c:pt idx="8">
                <c:v>175.5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9B5C-4B8A-B71C-73DC003C4139}"/>
            </c:ext>
          </c:extLst>
        </c:ser>
        <c:ser>
          <c:idx val="4"/>
          <c:order val="4"/>
          <c:tx>
            <c:v>E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Lit>
              <c:formatCode>General</c:formatCode>
              <c:ptCount val="9"/>
              <c:pt idx="0">
                <c:v>0</c:v>
              </c:pt>
              <c:pt idx="1">
                <c:v>0.84375000000000011</c:v>
              </c:pt>
              <c:pt idx="2">
                <c:v>1.885416666666667</c:v>
              </c:pt>
              <c:pt idx="3">
                <c:v>2.8437500000000004</c:v>
              </c:pt>
              <c:pt idx="4">
                <c:v>3.8645833333333335</c:v>
              </c:pt>
              <c:pt idx="5">
                <c:v>4.864583333333333</c:v>
              </c:pt>
              <c:pt idx="6">
                <c:v>5.875</c:v>
              </c:pt>
              <c:pt idx="7">
                <c:v>6.864583333333333</c:v>
              </c:pt>
              <c:pt idx="8">
                <c:v>7.885416666666667</c:v>
              </c:pt>
            </c:numLit>
          </c:xVal>
          <c:yVal>
            <c:numLit>
              <c:formatCode>General</c:formatCode>
              <c:ptCount val="9"/>
              <c:pt idx="0">
                <c:v>4</c:v>
              </c:pt>
              <c:pt idx="1">
                <c:v>69</c:v>
              </c:pt>
              <c:pt idx="2">
                <c:v>99</c:v>
              </c:pt>
              <c:pt idx="3">
                <c:v>116.5</c:v>
              </c:pt>
              <c:pt idx="4">
                <c:v>125</c:v>
              </c:pt>
              <c:pt idx="5">
                <c:v>133.5</c:v>
              </c:pt>
              <c:pt idx="6">
                <c:v>145</c:v>
              </c:pt>
              <c:pt idx="7">
                <c:v>166</c:v>
              </c:pt>
              <c:pt idx="8">
                <c:v>166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9B5C-4B8A-B71C-73DC003C4139}"/>
            </c:ext>
          </c:extLst>
        </c:ser>
        <c:ser>
          <c:idx val="5"/>
          <c:order val="5"/>
          <c:tx>
            <c:v>F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Lit>
              <c:formatCode>General</c:formatCode>
              <c:ptCount val="9"/>
              <c:pt idx="0">
                <c:v>0</c:v>
              </c:pt>
              <c:pt idx="1">
                <c:v>0.84375000000000011</c:v>
              </c:pt>
              <c:pt idx="2">
                <c:v>1.885416666666667</c:v>
              </c:pt>
              <c:pt idx="3">
                <c:v>2.8437500000000004</c:v>
              </c:pt>
              <c:pt idx="4">
                <c:v>3.8645833333333335</c:v>
              </c:pt>
              <c:pt idx="5">
                <c:v>4.864583333333333</c:v>
              </c:pt>
              <c:pt idx="6">
                <c:v>5.875</c:v>
              </c:pt>
              <c:pt idx="7">
                <c:v>6.864583333333333</c:v>
              </c:pt>
              <c:pt idx="8">
                <c:v>7.885416666666667</c:v>
              </c:pt>
            </c:numLit>
          </c:xVal>
          <c:yVal>
            <c:numLit>
              <c:formatCode>General</c:formatCode>
              <c:ptCount val="9"/>
              <c:pt idx="0">
                <c:v>0</c:v>
              </c:pt>
              <c:pt idx="1">
                <c:v>50</c:v>
              </c:pt>
              <c:pt idx="2">
                <c:v>63</c:v>
              </c:pt>
              <c:pt idx="3">
                <c:v>70</c:v>
              </c:pt>
              <c:pt idx="4">
                <c:v>72.5</c:v>
              </c:pt>
              <c:pt idx="5">
                <c:v>83.5</c:v>
              </c:pt>
              <c:pt idx="6">
                <c:v>106</c:v>
              </c:pt>
              <c:pt idx="7">
                <c:v>111</c:v>
              </c:pt>
              <c:pt idx="8">
                <c:v>111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9B5C-4B8A-B71C-73DC003C41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2795504"/>
        <c:axId val="1612792176"/>
      </c:scatterChart>
      <c:valAx>
        <c:axId val="1612795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2792176"/>
        <c:crosses val="autoZero"/>
        <c:crossBetween val="midCat"/>
      </c:valAx>
      <c:valAx>
        <c:axId val="161279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2795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Standards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AcH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53</c:v>
              </c:pt>
              <c:pt idx="1">
                <c:v>263</c:v>
              </c:pt>
              <c:pt idx="2">
                <c:v>525</c:v>
              </c:pt>
            </c:numLit>
          </c:xVal>
          <c:yVal>
            <c:numLit>
              <c:formatCode>General</c:formatCode>
              <c:ptCount val="3"/>
              <c:pt idx="0">
                <c:v>2393</c:v>
              </c:pt>
              <c:pt idx="1">
                <c:v>12463</c:v>
              </c:pt>
              <c:pt idx="2">
                <c:v>24503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DD5F-450E-A601-003DC7008A68}"/>
            </c:ext>
          </c:extLst>
        </c:ser>
        <c:ser>
          <c:idx val="1"/>
          <c:order val="1"/>
          <c:tx>
            <c:v>PrH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49</c:v>
              </c:pt>
              <c:pt idx="1">
                <c:v>247</c:v>
              </c:pt>
              <c:pt idx="2">
                <c:v>495</c:v>
              </c:pt>
            </c:numLit>
          </c:xVal>
          <c:yVal>
            <c:numLit>
              <c:formatCode>General</c:formatCode>
              <c:ptCount val="3"/>
              <c:pt idx="0">
                <c:v>3699</c:v>
              </c:pt>
              <c:pt idx="1">
                <c:v>19273</c:v>
              </c:pt>
              <c:pt idx="2">
                <c:v>37947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DD5F-450E-A601-003DC7008A68}"/>
            </c:ext>
          </c:extLst>
        </c:ser>
        <c:ser>
          <c:idx val="2"/>
          <c:order val="2"/>
          <c:tx>
            <c:v>iBuH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47</c:v>
              </c:pt>
              <c:pt idx="1">
                <c:v>235</c:v>
              </c:pt>
              <c:pt idx="2">
                <c:v>469</c:v>
              </c:pt>
            </c:numLit>
          </c:xVal>
          <c:yVal>
            <c:numLit>
              <c:formatCode>General</c:formatCode>
              <c:ptCount val="3"/>
              <c:pt idx="0">
                <c:v>4295</c:v>
              </c:pt>
              <c:pt idx="1">
                <c:v>22230</c:v>
              </c:pt>
              <c:pt idx="2">
                <c:v>43671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DD5F-450E-A601-003DC7008A68}"/>
            </c:ext>
          </c:extLst>
        </c:ser>
        <c:ser>
          <c:idx val="3"/>
          <c:order val="3"/>
          <c:tx>
            <c:v>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45</c:v>
              </c:pt>
              <c:pt idx="1">
                <c:v>227</c:v>
              </c:pt>
              <c:pt idx="2">
                <c:v>453</c:v>
              </c:pt>
            </c:numLit>
          </c:xVal>
          <c:yVal>
            <c:numLit>
              <c:formatCode>General</c:formatCode>
              <c:ptCount val="3"/>
              <c:pt idx="0">
                <c:v>4527</c:v>
              </c:pt>
              <c:pt idx="1">
                <c:v>22939</c:v>
              </c:pt>
              <c:pt idx="2">
                <c:v>45173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7-DD5F-450E-A601-003DC7008A68}"/>
            </c:ext>
          </c:extLst>
        </c:ser>
        <c:ser>
          <c:idx val="4"/>
          <c:order val="4"/>
          <c:tx>
            <c:v>iVaH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46</c:v>
              </c:pt>
              <c:pt idx="1">
                <c:v>228</c:v>
              </c:pt>
              <c:pt idx="2">
                <c:v>455</c:v>
              </c:pt>
            </c:numLit>
          </c:xVal>
          <c:yVal>
            <c:numLit>
              <c:formatCode>General</c:formatCode>
              <c:ptCount val="3"/>
              <c:pt idx="0">
                <c:v>4872</c:v>
              </c:pt>
              <c:pt idx="1">
                <c:v>24982</c:v>
              </c:pt>
              <c:pt idx="2">
                <c:v>49409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9-DD5F-450E-A601-003DC7008A68}"/>
            </c:ext>
          </c:extLst>
        </c:ser>
        <c:ser>
          <c:idx val="5"/>
          <c:order val="5"/>
          <c:tx>
            <c:v>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44</c:v>
              </c:pt>
              <c:pt idx="1">
                <c:v>221</c:v>
              </c:pt>
              <c:pt idx="2">
                <c:v>443</c:v>
              </c:pt>
            </c:numLit>
          </c:xVal>
          <c:yVal>
            <c:numLit>
              <c:formatCode>General</c:formatCode>
              <c:ptCount val="3"/>
              <c:pt idx="0">
                <c:v>4968</c:v>
              </c:pt>
              <c:pt idx="1">
                <c:v>25460</c:v>
              </c:pt>
              <c:pt idx="2">
                <c:v>49984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B-DD5F-450E-A601-003DC7008A68}"/>
            </c:ext>
          </c:extLst>
        </c:ser>
        <c:ser>
          <c:idx val="6"/>
          <c:order val="6"/>
          <c:tx>
            <c:v>HexH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44</c:v>
              </c:pt>
              <c:pt idx="1">
                <c:v>222</c:v>
              </c:pt>
              <c:pt idx="2">
                <c:v>444</c:v>
              </c:pt>
            </c:numLit>
          </c:xVal>
          <c:yVal>
            <c:numLit>
              <c:formatCode>General</c:formatCode>
              <c:ptCount val="3"/>
              <c:pt idx="0">
                <c:v>5270</c:v>
              </c:pt>
              <c:pt idx="1">
                <c:v>26765</c:v>
              </c:pt>
              <c:pt idx="2">
                <c:v>52906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D-DD5F-450E-A601-003DC7008A68}"/>
            </c:ext>
          </c:extLst>
        </c:ser>
        <c:ser>
          <c:idx val="7"/>
          <c:order val="7"/>
          <c:tx>
            <c:v>HepH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47</c:v>
              </c:pt>
              <c:pt idx="1">
                <c:v>234</c:v>
              </c:pt>
              <c:pt idx="2">
                <c:v>467</c:v>
              </c:pt>
            </c:numLit>
          </c:xVal>
          <c:yVal>
            <c:numLit>
              <c:formatCode>General</c:formatCode>
              <c:ptCount val="3"/>
              <c:pt idx="0">
                <c:v>5864</c:v>
              </c:pt>
              <c:pt idx="1">
                <c:v>29670</c:v>
              </c:pt>
              <c:pt idx="2">
                <c:v>58532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F-DD5F-450E-A601-003DC7008A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395528"/>
        <c:axId val="557393888"/>
      </c:scatterChart>
      <c:valAx>
        <c:axId val="557395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ppm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3888"/>
        <c:crosses val="autoZero"/>
        <c:crossBetween val="midCat"/>
      </c:valAx>
      <c:valAx>
        <c:axId val="55739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5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Standards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AcH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53</c:v>
              </c:pt>
              <c:pt idx="1">
                <c:v>263</c:v>
              </c:pt>
              <c:pt idx="2">
                <c:v>525</c:v>
              </c:pt>
            </c:numLit>
          </c:xVal>
          <c:yVal>
            <c:numLit>
              <c:formatCode>General</c:formatCode>
              <c:ptCount val="3"/>
              <c:pt idx="0">
                <c:v>1931</c:v>
              </c:pt>
              <c:pt idx="1">
                <c:v>9755</c:v>
              </c:pt>
              <c:pt idx="2">
                <c:v>20261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6472-47BB-B227-97C5AC76459D}"/>
            </c:ext>
          </c:extLst>
        </c:ser>
        <c:ser>
          <c:idx val="1"/>
          <c:order val="1"/>
          <c:tx>
            <c:v>PrH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49</c:v>
              </c:pt>
              <c:pt idx="1">
                <c:v>247</c:v>
              </c:pt>
              <c:pt idx="2">
                <c:v>495</c:v>
              </c:pt>
            </c:numLit>
          </c:xVal>
          <c:yVal>
            <c:numLit>
              <c:formatCode>General</c:formatCode>
              <c:ptCount val="3"/>
              <c:pt idx="0">
                <c:v>2905</c:v>
              </c:pt>
              <c:pt idx="1">
                <c:v>15020</c:v>
              </c:pt>
              <c:pt idx="2">
                <c:v>30971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6472-47BB-B227-97C5AC76459D}"/>
            </c:ext>
          </c:extLst>
        </c:ser>
        <c:ser>
          <c:idx val="2"/>
          <c:order val="2"/>
          <c:tx>
            <c:v>iBuH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47</c:v>
              </c:pt>
              <c:pt idx="1">
                <c:v>235</c:v>
              </c:pt>
              <c:pt idx="2">
                <c:v>469</c:v>
              </c:pt>
            </c:numLit>
          </c:xVal>
          <c:yVal>
            <c:numLit>
              <c:formatCode>General</c:formatCode>
              <c:ptCount val="3"/>
              <c:pt idx="0">
                <c:v>3193</c:v>
              </c:pt>
              <c:pt idx="1">
                <c:v>17571</c:v>
              </c:pt>
              <c:pt idx="2">
                <c:v>34430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6472-47BB-B227-97C5AC76459D}"/>
            </c:ext>
          </c:extLst>
        </c:ser>
        <c:ser>
          <c:idx val="3"/>
          <c:order val="3"/>
          <c:tx>
            <c:v>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45</c:v>
              </c:pt>
              <c:pt idx="1">
                <c:v>227</c:v>
              </c:pt>
              <c:pt idx="2">
                <c:v>453</c:v>
              </c:pt>
            </c:numLit>
          </c:xVal>
          <c:yVal>
            <c:numLit>
              <c:formatCode>General</c:formatCode>
              <c:ptCount val="3"/>
              <c:pt idx="0">
                <c:v>3377</c:v>
              </c:pt>
              <c:pt idx="1">
                <c:v>18397</c:v>
              </c:pt>
              <c:pt idx="2">
                <c:v>38233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7-6472-47BB-B227-97C5AC76459D}"/>
            </c:ext>
          </c:extLst>
        </c:ser>
        <c:ser>
          <c:idx val="4"/>
          <c:order val="4"/>
          <c:tx>
            <c:v>iVaH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46</c:v>
              </c:pt>
              <c:pt idx="1">
                <c:v>228</c:v>
              </c:pt>
              <c:pt idx="2">
                <c:v>455</c:v>
              </c:pt>
            </c:numLit>
          </c:xVal>
          <c:yVal>
            <c:numLit>
              <c:formatCode>General</c:formatCode>
              <c:ptCount val="3"/>
              <c:pt idx="0">
                <c:v>3630</c:v>
              </c:pt>
              <c:pt idx="1">
                <c:v>19841</c:v>
              </c:pt>
              <c:pt idx="2">
                <c:v>40325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9-6472-47BB-B227-97C5AC76459D}"/>
            </c:ext>
          </c:extLst>
        </c:ser>
        <c:ser>
          <c:idx val="5"/>
          <c:order val="5"/>
          <c:tx>
            <c:v>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44</c:v>
              </c:pt>
              <c:pt idx="1">
                <c:v>221</c:v>
              </c:pt>
              <c:pt idx="2">
                <c:v>443</c:v>
              </c:pt>
            </c:numLit>
          </c:xVal>
          <c:yVal>
            <c:numLit>
              <c:formatCode>General</c:formatCode>
              <c:ptCount val="3"/>
              <c:pt idx="0">
                <c:v>3801</c:v>
              </c:pt>
              <c:pt idx="1">
                <c:v>20455</c:v>
              </c:pt>
              <c:pt idx="2">
                <c:v>41988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B-6472-47BB-B227-97C5AC76459D}"/>
            </c:ext>
          </c:extLst>
        </c:ser>
        <c:ser>
          <c:idx val="6"/>
          <c:order val="6"/>
          <c:tx>
            <c:v>HexH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44</c:v>
              </c:pt>
              <c:pt idx="1">
                <c:v>222</c:v>
              </c:pt>
              <c:pt idx="2">
                <c:v>444</c:v>
              </c:pt>
            </c:numLit>
          </c:xVal>
          <c:yVal>
            <c:numLit>
              <c:formatCode>General</c:formatCode>
              <c:ptCount val="3"/>
              <c:pt idx="0">
                <c:v>4055</c:v>
              </c:pt>
              <c:pt idx="1">
                <c:v>21269</c:v>
              </c:pt>
              <c:pt idx="2">
                <c:v>43544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D-6472-47BB-B227-97C5AC76459D}"/>
            </c:ext>
          </c:extLst>
        </c:ser>
        <c:ser>
          <c:idx val="7"/>
          <c:order val="7"/>
          <c:tx>
            <c:v>HepH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47</c:v>
              </c:pt>
              <c:pt idx="1">
                <c:v>234</c:v>
              </c:pt>
              <c:pt idx="2">
                <c:v>467</c:v>
              </c:pt>
            </c:numLit>
          </c:xVal>
          <c:yVal>
            <c:numLit>
              <c:formatCode>General</c:formatCode>
              <c:ptCount val="3"/>
              <c:pt idx="0">
                <c:v>4638</c:v>
              </c:pt>
              <c:pt idx="1">
                <c:v>23119</c:v>
              </c:pt>
              <c:pt idx="2">
                <c:v>46295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F-6472-47BB-B227-97C5AC764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395528"/>
        <c:axId val="557393888"/>
      </c:scatterChart>
      <c:valAx>
        <c:axId val="557395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ppm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3888"/>
        <c:crosses val="autoZero"/>
        <c:crossBetween val="midCat"/>
      </c:valAx>
      <c:valAx>
        <c:axId val="55739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5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Standards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AcH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53</c:v>
              </c:pt>
              <c:pt idx="1">
                <c:v>263</c:v>
              </c:pt>
              <c:pt idx="2">
                <c:v>525</c:v>
              </c:pt>
            </c:numLit>
          </c:xVal>
          <c:yVal>
            <c:numLit>
              <c:formatCode>General</c:formatCode>
              <c:ptCount val="3"/>
              <c:pt idx="0">
                <c:v>2171</c:v>
              </c:pt>
              <c:pt idx="1">
                <c:v>10756</c:v>
              </c:pt>
              <c:pt idx="2">
                <c:v>22100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AA70-42C3-95FA-19D8362ABE12}"/>
            </c:ext>
          </c:extLst>
        </c:ser>
        <c:ser>
          <c:idx val="1"/>
          <c:order val="1"/>
          <c:tx>
            <c:v>PrH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49</c:v>
              </c:pt>
              <c:pt idx="1">
                <c:v>247</c:v>
              </c:pt>
              <c:pt idx="2">
                <c:v>495</c:v>
              </c:pt>
            </c:numLit>
          </c:xVal>
          <c:yVal>
            <c:numLit>
              <c:formatCode>General</c:formatCode>
              <c:ptCount val="3"/>
              <c:pt idx="0">
                <c:v>3258</c:v>
              </c:pt>
              <c:pt idx="1">
                <c:v>17602</c:v>
              </c:pt>
              <c:pt idx="2">
                <c:v>34143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AA70-42C3-95FA-19D8362ABE12}"/>
            </c:ext>
          </c:extLst>
        </c:ser>
        <c:ser>
          <c:idx val="2"/>
          <c:order val="2"/>
          <c:tx>
            <c:v>iBuH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47</c:v>
              </c:pt>
              <c:pt idx="1">
                <c:v>235</c:v>
              </c:pt>
              <c:pt idx="2">
                <c:v>469</c:v>
              </c:pt>
            </c:numLit>
          </c:xVal>
          <c:yVal>
            <c:numLit>
              <c:formatCode>General</c:formatCode>
              <c:ptCount val="3"/>
              <c:pt idx="0">
                <c:v>3689</c:v>
              </c:pt>
              <c:pt idx="1">
                <c:v>19904</c:v>
              </c:pt>
              <c:pt idx="2">
                <c:v>41040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AA70-42C3-95FA-19D8362ABE12}"/>
            </c:ext>
          </c:extLst>
        </c:ser>
        <c:ser>
          <c:idx val="3"/>
          <c:order val="3"/>
          <c:tx>
            <c:v>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45</c:v>
              </c:pt>
              <c:pt idx="1">
                <c:v>227</c:v>
              </c:pt>
              <c:pt idx="2">
                <c:v>453</c:v>
              </c:pt>
            </c:numLit>
          </c:xVal>
          <c:yVal>
            <c:numLit>
              <c:formatCode>General</c:formatCode>
              <c:ptCount val="3"/>
              <c:pt idx="0">
                <c:v>4244</c:v>
              </c:pt>
              <c:pt idx="1">
                <c:v>21027</c:v>
              </c:pt>
              <c:pt idx="2">
                <c:v>42102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7-AA70-42C3-95FA-19D8362ABE12}"/>
            </c:ext>
          </c:extLst>
        </c:ser>
        <c:ser>
          <c:idx val="4"/>
          <c:order val="4"/>
          <c:tx>
            <c:v>iVaH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46</c:v>
              </c:pt>
              <c:pt idx="1">
                <c:v>228</c:v>
              </c:pt>
              <c:pt idx="2">
                <c:v>455</c:v>
              </c:pt>
            </c:numLit>
          </c:xVal>
          <c:yVal>
            <c:numLit>
              <c:formatCode>General</c:formatCode>
              <c:ptCount val="3"/>
              <c:pt idx="0">
                <c:v>4212</c:v>
              </c:pt>
              <c:pt idx="1">
                <c:v>22448</c:v>
              </c:pt>
              <c:pt idx="2">
                <c:v>45374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9-AA70-42C3-95FA-19D8362ABE12}"/>
            </c:ext>
          </c:extLst>
        </c:ser>
        <c:ser>
          <c:idx val="5"/>
          <c:order val="5"/>
          <c:tx>
            <c:v>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44</c:v>
              </c:pt>
              <c:pt idx="1">
                <c:v>221</c:v>
              </c:pt>
              <c:pt idx="2">
                <c:v>443</c:v>
              </c:pt>
            </c:numLit>
          </c:xVal>
          <c:yVal>
            <c:numLit>
              <c:formatCode>General</c:formatCode>
              <c:ptCount val="3"/>
              <c:pt idx="0">
                <c:v>4356</c:v>
              </c:pt>
              <c:pt idx="1">
                <c:v>23345</c:v>
              </c:pt>
              <c:pt idx="2">
                <c:v>47267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B-AA70-42C3-95FA-19D8362ABE12}"/>
            </c:ext>
          </c:extLst>
        </c:ser>
        <c:ser>
          <c:idx val="6"/>
          <c:order val="6"/>
          <c:tx>
            <c:v>HexH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44</c:v>
              </c:pt>
              <c:pt idx="1">
                <c:v>222</c:v>
              </c:pt>
              <c:pt idx="2">
                <c:v>444</c:v>
              </c:pt>
            </c:numLit>
          </c:xVal>
          <c:yVal>
            <c:numLit>
              <c:formatCode>General</c:formatCode>
              <c:ptCount val="3"/>
              <c:pt idx="0">
                <c:v>4717</c:v>
              </c:pt>
              <c:pt idx="1">
                <c:v>25129</c:v>
              </c:pt>
              <c:pt idx="2">
                <c:v>50710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D-AA70-42C3-95FA-19D8362ABE12}"/>
            </c:ext>
          </c:extLst>
        </c:ser>
        <c:ser>
          <c:idx val="7"/>
          <c:order val="7"/>
          <c:tx>
            <c:v>HepH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47</c:v>
              </c:pt>
              <c:pt idx="1">
                <c:v>234</c:v>
              </c:pt>
              <c:pt idx="2">
                <c:v>467</c:v>
              </c:pt>
            </c:numLit>
          </c:xVal>
          <c:yVal>
            <c:numLit>
              <c:formatCode>General</c:formatCode>
              <c:ptCount val="3"/>
              <c:pt idx="0">
                <c:v>5383</c:v>
              </c:pt>
              <c:pt idx="1">
                <c:v>27802</c:v>
              </c:pt>
              <c:pt idx="2">
                <c:v>56960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F-AA70-42C3-95FA-19D8362ABE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395528"/>
        <c:axId val="557393888"/>
      </c:scatterChart>
      <c:valAx>
        <c:axId val="557395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ppm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3888"/>
        <c:crosses val="autoZero"/>
        <c:crossBetween val="midCat"/>
      </c:valAx>
      <c:valAx>
        <c:axId val="55739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5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Standards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AcH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53</c:v>
              </c:pt>
              <c:pt idx="1">
                <c:v>263</c:v>
              </c:pt>
              <c:pt idx="2">
                <c:v>525</c:v>
              </c:pt>
            </c:numLit>
          </c:xVal>
          <c:yVal>
            <c:numLit>
              <c:formatCode>General</c:formatCode>
              <c:ptCount val="3"/>
              <c:pt idx="0">
                <c:v>1719</c:v>
              </c:pt>
              <c:pt idx="1">
                <c:v>8950</c:v>
              </c:pt>
              <c:pt idx="2">
                <c:v>17824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4643-4F8E-B76E-68540487AD3B}"/>
            </c:ext>
          </c:extLst>
        </c:ser>
        <c:ser>
          <c:idx val="1"/>
          <c:order val="1"/>
          <c:tx>
            <c:v>PrH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49</c:v>
              </c:pt>
              <c:pt idx="1">
                <c:v>247</c:v>
              </c:pt>
              <c:pt idx="2">
                <c:v>495</c:v>
              </c:pt>
            </c:numLit>
          </c:xVal>
          <c:yVal>
            <c:numLit>
              <c:formatCode>General</c:formatCode>
              <c:ptCount val="3"/>
              <c:pt idx="0">
                <c:v>2733</c:v>
              </c:pt>
              <c:pt idx="1">
                <c:v>13725</c:v>
              </c:pt>
              <c:pt idx="2">
                <c:v>27224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4643-4F8E-B76E-68540487AD3B}"/>
            </c:ext>
          </c:extLst>
        </c:ser>
        <c:ser>
          <c:idx val="2"/>
          <c:order val="2"/>
          <c:tx>
            <c:v>iBuH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47</c:v>
              </c:pt>
              <c:pt idx="1">
                <c:v>235</c:v>
              </c:pt>
              <c:pt idx="2">
                <c:v>469</c:v>
              </c:pt>
            </c:numLit>
          </c:xVal>
          <c:yVal>
            <c:numLit>
              <c:formatCode>General</c:formatCode>
              <c:ptCount val="3"/>
              <c:pt idx="0">
                <c:v>2989</c:v>
              </c:pt>
              <c:pt idx="1">
                <c:v>15399</c:v>
              </c:pt>
              <c:pt idx="2">
                <c:v>30563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4643-4F8E-B76E-68540487AD3B}"/>
            </c:ext>
          </c:extLst>
        </c:ser>
        <c:ser>
          <c:idx val="3"/>
          <c:order val="3"/>
          <c:tx>
            <c:v>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45</c:v>
              </c:pt>
              <c:pt idx="1">
                <c:v>227</c:v>
              </c:pt>
              <c:pt idx="2">
                <c:v>453</c:v>
              </c:pt>
            </c:numLit>
          </c:xVal>
          <c:yVal>
            <c:numLit>
              <c:formatCode>General</c:formatCode>
              <c:ptCount val="3"/>
              <c:pt idx="0">
                <c:v>3159</c:v>
              </c:pt>
              <c:pt idx="1">
                <c:v>16596</c:v>
              </c:pt>
              <c:pt idx="2">
                <c:v>33097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7-4643-4F8E-B76E-68540487AD3B}"/>
            </c:ext>
          </c:extLst>
        </c:ser>
        <c:ser>
          <c:idx val="4"/>
          <c:order val="4"/>
          <c:tx>
            <c:v>iVaH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46</c:v>
              </c:pt>
              <c:pt idx="1">
                <c:v>228</c:v>
              </c:pt>
              <c:pt idx="2">
                <c:v>455</c:v>
              </c:pt>
            </c:numLit>
          </c:xVal>
          <c:yVal>
            <c:numLit>
              <c:formatCode>General</c:formatCode>
              <c:ptCount val="3"/>
              <c:pt idx="0">
                <c:v>3396</c:v>
              </c:pt>
              <c:pt idx="1">
                <c:v>17818</c:v>
              </c:pt>
              <c:pt idx="2">
                <c:v>35259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9-4643-4F8E-B76E-68540487AD3B}"/>
            </c:ext>
          </c:extLst>
        </c:ser>
        <c:ser>
          <c:idx val="5"/>
          <c:order val="5"/>
          <c:tx>
            <c:v>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44</c:v>
              </c:pt>
              <c:pt idx="1">
                <c:v>221</c:v>
              </c:pt>
              <c:pt idx="2">
                <c:v>443</c:v>
              </c:pt>
            </c:numLit>
          </c:xVal>
          <c:yVal>
            <c:numLit>
              <c:formatCode>General</c:formatCode>
              <c:ptCount val="3"/>
              <c:pt idx="0">
                <c:v>3486</c:v>
              </c:pt>
              <c:pt idx="1">
                <c:v>18624</c:v>
              </c:pt>
              <c:pt idx="2">
                <c:v>36585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B-4643-4F8E-B76E-68540487AD3B}"/>
            </c:ext>
          </c:extLst>
        </c:ser>
        <c:ser>
          <c:idx val="6"/>
          <c:order val="6"/>
          <c:tx>
            <c:v>HexH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44</c:v>
              </c:pt>
              <c:pt idx="1">
                <c:v>222</c:v>
              </c:pt>
              <c:pt idx="2">
                <c:v>444</c:v>
              </c:pt>
            </c:numLit>
          </c:xVal>
          <c:yVal>
            <c:numLit>
              <c:formatCode>General</c:formatCode>
              <c:ptCount val="3"/>
              <c:pt idx="0">
                <c:v>3707</c:v>
              </c:pt>
              <c:pt idx="1">
                <c:v>19694</c:v>
              </c:pt>
              <c:pt idx="2">
                <c:v>39436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D-4643-4F8E-B76E-68540487AD3B}"/>
            </c:ext>
          </c:extLst>
        </c:ser>
        <c:ser>
          <c:idx val="7"/>
          <c:order val="7"/>
          <c:tx>
            <c:v>HepH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47</c:v>
              </c:pt>
              <c:pt idx="1">
                <c:v>234</c:v>
              </c:pt>
              <c:pt idx="2">
                <c:v>467</c:v>
              </c:pt>
            </c:numLit>
          </c:xVal>
          <c:yVal>
            <c:numLit>
              <c:formatCode>General</c:formatCode>
              <c:ptCount val="3"/>
              <c:pt idx="0">
                <c:v>4233</c:v>
              </c:pt>
              <c:pt idx="1">
                <c:v>22321</c:v>
              </c:pt>
              <c:pt idx="2">
                <c:v>44029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F-4643-4F8E-B76E-68540487AD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395528"/>
        <c:axId val="557393888"/>
      </c:scatterChart>
      <c:valAx>
        <c:axId val="557395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ppm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3888"/>
        <c:crosses val="autoZero"/>
        <c:crossBetween val="midCat"/>
      </c:valAx>
      <c:valAx>
        <c:axId val="55739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5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Standard</a:t>
            </a:r>
            <a:r>
              <a:rPr lang="en-GB" baseline="0"/>
              <a:t> curve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2981432876445998E-2"/>
                  <c:y val="0.1428540454182357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Lit>
              <c:formatCode>General</c:formatCode>
              <c:ptCount val="12"/>
              <c:pt idx="0">
                <c:v>50</c:v>
              </c:pt>
              <c:pt idx="1">
                <c:v>50</c:v>
              </c:pt>
              <c:pt idx="2">
                <c:v>100</c:v>
              </c:pt>
              <c:pt idx="3">
                <c:v>100</c:v>
              </c:pt>
              <c:pt idx="4">
                <c:v>200</c:v>
              </c:pt>
              <c:pt idx="5">
                <c:v>200</c:v>
              </c:pt>
              <c:pt idx="6">
                <c:v>500</c:v>
              </c:pt>
              <c:pt idx="7">
                <c:v>500</c:v>
              </c:pt>
              <c:pt idx="8">
                <c:v>1000</c:v>
              </c:pt>
              <c:pt idx="9">
                <c:v>1000</c:v>
              </c:pt>
            </c:numLit>
          </c:xVal>
          <c:yVal>
            <c:numLit>
              <c:formatCode>General</c:formatCode>
              <c:ptCount val="12"/>
              <c:pt idx="0">
                <c:v>239.45</c:v>
              </c:pt>
              <c:pt idx="1">
                <c:v>237.65</c:v>
              </c:pt>
              <c:pt idx="2">
                <c:v>494.25</c:v>
              </c:pt>
              <c:pt idx="3">
                <c:v>484.25</c:v>
              </c:pt>
              <c:pt idx="4">
                <c:v>1013.5</c:v>
              </c:pt>
              <c:pt idx="5">
                <c:v>997.5</c:v>
              </c:pt>
              <c:pt idx="6">
                <c:v>2630</c:v>
              </c:pt>
              <c:pt idx="7">
                <c:v>2615</c:v>
              </c:pt>
              <c:pt idx="8">
                <c:v>5647.5</c:v>
              </c:pt>
              <c:pt idx="9">
                <c:v>5440</c:v>
              </c:pt>
              <c:pt idx="10">
                <c:v>0</c:v>
              </c:pt>
              <c:pt idx="1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F359-4264-B7D1-D27B24DEC113}"/>
            </c:ext>
          </c:extLst>
        </c:ser>
        <c:ser>
          <c:idx val="1"/>
          <c:order val="1"/>
          <c:tx>
            <c:v>IC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7330340953757584"/>
                  <c:y val="-2.315131804176651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Lit>
              <c:formatCode>General</c:formatCode>
              <c:ptCount val="12"/>
              <c:pt idx="0">
                <c:v>2</c:v>
              </c:pt>
              <c:pt idx="1">
                <c:v>2</c:v>
              </c:pt>
              <c:pt idx="2">
                <c:v>4</c:v>
              </c:pt>
              <c:pt idx="3">
                <c:v>4</c:v>
              </c:pt>
              <c:pt idx="4">
                <c:v>10</c:v>
              </c:pt>
              <c:pt idx="5">
                <c:v>10</c:v>
              </c:pt>
              <c:pt idx="6">
                <c:v>50</c:v>
              </c:pt>
              <c:pt idx="8">
                <c:v>50</c:v>
              </c:pt>
              <c:pt idx="9">
                <c:v>100</c:v>
              </c:pt>
              <c:pt idx="10">
                <c:v>100</c:v>
              </c:pt>
            </c:numLit>
          </c:xVal>
          <c:yVal>
            <c:numLit>
              <c:formatCode>General</c:formatCode>
              <c:ptCount val="12"/>
              <c:pt idx="0">
                <c:v>10.77</c:v>
              </c:pt>
              <c:pt idx="1">
                <c:v>11.03</c:v>
              </c:pt>
              <c:pt idx="2">
                <c:v>20.22</c:v>
              </c:pt>
              <c:pt idx="3">
                <c:v>20.18</c:v>
              </c:pt>
              <c:pt idx="4">
                <c:v>45.14</c:v>
              </c:pt>
              <c:pt idx="5">
                <c:v>46.01</c:v>
              </c:pt>
              <c:pt idx="6">
                <c:v>230.6</c:v>
              </c:pt>
              <c:pt idx="7">
                <c:v>0</c:v>
              </c:pt>
              <c:pt idx="8">
                <c:v>228.8</c:v>
              </c:pt>
              <c:pt idx="9">
                <c:v>468</c:v>
              </c:pt>
              <c:pt idx="10">
                <c:v>464.9</c:v>
              </c:pt>
              <c:pt idx="1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F359-4264-B7D1-D27B24DEC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813096"/>
        <c:axId val="560811456"/>
      </c:scatterChart>
      <c:valAx>
        <c:axId val="560813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CONCENTRATION</a:t>
                </a:r>
                <a:r>
                  <a:rPr lang="en-GB" baseline="0"/>
                  <a:t> (ppm)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11456"/>
        <c:crosses val="autoZero"/>
        <c:crossBetween val="midCat"/>
      </c:valAx>
      <c:valAx>
        <c:axId val="56081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130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soluble TOC, Day 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Actual TOC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12"/>
              <c:pt idx="0">
                <c:v>A1</c:v>
              </c:pt>
              <c:pt idx="1">
                <c:v>A2</c:v>
              </c:pt>
              <c:pt idx="2">
                <c:v>B1</c:v>
              </c:pt>
              <c:pt idx="3">
                <c:v>B2</c:v>
              </c:pt>
              <c:pt idx="4">
                <c:v>C1</c:v>
              </c:pt>
              <c:pt idx="5">
                <c:v>C2</c:v>
              </c:pt>
              <c:pt idx="6">
                <c:v>D1</c:v>
              </c:pt>
              <c:pt idx="7">
                <c:v>D2</c:v>
              </c:pt>
              <c:pt idx="8">
                <c:v>E1</c:v>
              </c:pt>
              <c:pt idx="9">
                <c:v>E2</c:v>
              </c:pt>
              <c:pt idx="10">
                <c:v>F1</c:v>
              </c:pt>
              <c:pt idx="11">
                <c:v>F2</c:v>
              </c:pt>
            </c:strLit>
          </c:cat>
          <c:val>
            <c:numLit>
              <c:formatCode>General</c:formatCode>
              <c:ptCount val="12"/>
              <c:pt idx="0">
                <c:v>3714.3634647867307</c:v>
              </c:pt>
              <c:pt idx="1">
                <c:v>3703.7043073579907</c:v>
              </c:pt>
              <c:pt idx="2">
                <c:v>4234.0093041531827</c:v>
              </c:pt>
              <c:pt idx="3">
                <c:v>4396.524123266744</c:v>
              </c:pt>
              <c:pt idx="4">
                <c:v>4310.8456390621623</c:v>
              </c:pt>
              <c:pt idx="5">
                <c:v>4070.1746713520661</c:v>
              </c:pt>
              <c:pt idx="6">
                <c:v>2577.7833873772579</c:v>
              </c:pt>
              <c:pt idx="7">
                <c:v>2343.400412443762</c:v>
              </c:pt>
              <c:pt idx="9">
                <c:v>4132.1388413206232</c:v>
              </c:pt>
              <c:pt idx="10">
                <c:v>4144.4504270193274</c:v>
              </c:pt>
              <c:pt idx="11">
                <c:v>4354.85530274142</c:v>
              </c:pt>
            </c:numLit>
          </c:val>
          <c:extLst>
            <c:ext xmlns:c16="http://schemas.microsoft.com/office/drawing/2014/chart" uri="{C3380CC4-5D6E-409C-BE32-E72D297353CC}">
              <c16:uniqueId val="{00000000-E94F-44C0-9062-1BC7D91DF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100"/>
        <c:axId val="676125640"/>
        <c:axId val="676125312"/>
        <c:extLst/>
      </c:barChart>
      <c:catAx>
        <c:axId val="67612564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125312"/>
        <c:crosses val="autoZero"/>
        <c:auto val="1"/>
        <c:lblAlgn val="ctr"/>
        <c:lblOffset val="100"/>
        <c:noMultiLvlLbl val="0"/>
      </c:catAx>
      <c:valAx>
        <c:axId val="676125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Soluble</a:t>
                </a:r>
                <a:r>
                  <a:rPr lang="en-GB" baseline="0"/>
                  <a:t> TOC (mg/L)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125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DoA, day 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11"/>
              <c:pt idx="0">
                <c:v>pH 10 </c:v>
              </c:pt>
              <c:pt idx="2">
                <c:v>pH 8.5</c:v>
              </c:pt>
              <c:pt idx="4">
                <c:v>pH 7 </c:v>
              </c:pt>
              <c:pt idx="6">
                <c:v>pH 10 + CaCO3</c:v>
              </c:pt>
              <c:pt idx="8">
                <c:v>pH 8.5 + CaCO3</c:v>
              </c:pt>
              <c:pt idx="10">
                <c:v>pH 7 + CaCO3</c:v>
              </c:pt>
            </c:strLit>
          </c:cat>
          <c:val>
            <c:numLit>
              <c:formatCode>0.00%</c:formatCode>
              <c:ptCount val="6"/>
              <c:pt idx="0">
                <c:v>0.44139879704277196</c:v>
              </c:pt>
              <c:pt idx="1">
                <c:v>0.77345497525331175</c:v>
              </c:pt>
              <c:pt idx="2">
                <c:v>0.75442532215967073</c:v>
              </c:pt>
              <c:pt idx="3">
                <c:v>0.72344351662417572</c:v>
              </c:pt>
              <c:pt idx="4">
                <c:v>0.77792756017676179</c:v>
              </c:pt>
              <c:pt idx="5">
                <c:v>0.7579011224654234</c:v>
              </c:pt>
            </c:numLit>
          </c:val>
          <c:extLst>
            <c:ext xmlns:c16="http://schemas.microsoft.com/office/drawing/2014/chart" uri="{C3380CC4-5D6E-409C-BE32-E72D297353CC}">
              <c16:uniqueId val="{00000000-883F-47C9-A4C6-979C0FA81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6125640"/>
        <c:axId val="676125312"/>
        <c:extLst/>
      </c:barChart>
      <c:catAx>
        <c:axId val="67612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125312"/>
        <c:crosses val="autoZero"/>
        <c:auto val="1"/>
        <c:lblAlgn val="ctr"/>
        <c:lblOffset val="100"/>
        <c:noMultiLvlLbl val="0"/>
      </c:catAx>
      <c:valAx>
        <c:axId val="676125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125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Standard</a:t>
            </a:r>
            <a:r>
              <a:rPr lang="en-GB" baseline="0"/>
              <a:t> curve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2981432876445998E-2"/>
                  <c:y val="0.1428540454182357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Lit>
              <c:formatCode>General</c:formatCode>
              <c:ptCount val="12"/>
              <c:pt idx="0">
                <c:v>50</c:v>
              </c:pt>
              <c:pt idx="1">
                <c:v>50</c:v>
              </c:pt>
              <c:pt idx="2">
                <c:v>100</c:v>
              </c:pt>
              <c:pt idx="4">
                <c:v>100</c:v>
              </c:pt>
              <c:pt idx="5">
                <c:v>200</c:v>
              </c:pt>
              <c:pt idx="6">
                <c:v>200</c:v>
              </c:pt>
              <c:pt idx="7">
                <c:v>500</c:v>
              </c:pt>
              <c:pt idx="8">
                <c:v>500</c:v>
              </c:pt>
              <c:pt idx="9">
                <c:v>1000</c:v>
              </c:pt>
              <c:pt idx="10">
                <c:v>1000</c:v>
              </c:pt>
            </c:numLit>
          </c:xVal>
          <c:yVal>
            <c:numLit>
              <c:formatCode>General</c:formatCode>
              <c:ptCount val="12"/>
              <c:pt idx="0">
                <c:v>195.92500000000001</c:v>
              </c:pt>
              <c:pt idx="1">
                <c:v>187.67499999999998</c:v>
              </c:pt>
              <c:pt idx="2">
                <c:v>398</c:v>
              </c:pt>
              <c:pt idx="3">
                <c:v>0</c:v>
              </c:pt>
              <c:pt idx="4">
                <c:v>392.75</c:v>
              </c:pt>
              <c:pt idx="5">
                <c:v>827.25</c:v>
              </c:pt>
              <c:pt idx="6">
                <c:v>822.75</c:v>
              </c:pt>
              <c:pt idx="7">
                <c:v>2145.75</c:v>
              </c:pt>
              <c:pt idx="8">
                <c:v>2082.75</c:v>
              </c:pt>
              <c:pt idx="9">
                <c:v>4600</c:v>
              </c:pt>
              <c:pt idx="10">
                <c:v>4405</c:v>
              </c:pt>
              <c:pt idx="1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49F2-4F4F-9BE3-85F9CCF84654}"/>
            </c:ext>
          </c:extLst>
        </c:ser>
        <c:ser>
          <c:idx val="1"/>
          <c:order val="1"/>
          <c:tx>
            <c:v>IC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7330340953757584"/>
                  <c:y val="-2.315131804176651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Lit>
              <c:formatCode>General</c:formatCode>
              <c:ptCount val="12"/>
              <c:pt idx="0">
                <c:v>4</c:v>
              </c:pt>
              <c:pt idx="1">
                <c:v>4</c:v>
              </c:pt>
              <c:pt idx="2">
                <c:v>8</c:v>
              </c:pt>
              <c:pt idx="3">
                <c:v>8</c:v>
              </c:pt>
              <c:pt idx="4">
                <c:v>20</c:v>
              </c:pt>
              <c:pt idx="5">
                <c:v>20</c:v>
              </c:pt>
              <c:pt idx="6">
                <c:v>100</c:v>
              </c:pt>
              <c:pt idx="7">
                <c:v>100</c:v>
              </c:pt>
              <c:pt idx="8">
                <c:v>200</c:v>
              </c:pt>
              <c:pt idx="9">
                <c:v>200</c:v>
              </c:pt>
            </c:numLit>
          </c:xVal>
          <c:yVal>
            <c:numLit>
              <c:formatCode>General</c:formatCode>
              <c:ptCount val="12"/>
              <c:pt idx="0">
                <c:v>9.3921875000000004</c:v>
              </c:pt>
              <c:pt idx="1">
                <c:v>9.2687500000000007</c:v>
              </c:pt>
              <c:pt idx="2">
                <c:v>18.3125</c:v>
              </c:pt>
              <c:pt idx="3">
                <c:v>18.8125</c:v>
              </c:pt>
              <c:pt idx="4">
                <c:v>46.796875</c:v>
              </c:pt>
              <c:pt idx="5">
                <c:v>46.8125</c:v>
              </c:pt>
              <c:pt idx="6">
                <c:v>238.125</c:v>
              </c:pt>
              <c:pt idx="7">
                <c:v>237.34375</c:v>
              </c:pt>
              <c:pt idx="8">
                <c:v>485.78124999999994</c:v>
              </c:pt>
              <c:pt idx="9">
                <c:v>488.12499999999994</c:v>
              </c:pt>
              <c:pt idx="10">
                <c:v>0</c:v>
              </c:pt>
              <c:pt idx="1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49F2-4F4F-9BE3-85F9CCF84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813096"/>
        <c:axId val="560811456"/>
      </c:scatterChart>
      <c:valAx>
        <c:axId val="560813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CONCENTRATION</a:t>
                </a:r>
                <a:r>
                  <a:rPr lang="en-GB" baseline="0"/>
                  <a:t> (ppm)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11456"/>
        <c:crosses val="autoZero"/>
        <c:crossBetween val="midCat"/>
      </c:valAx>
      <c:valAx>
        <c:axId val="56081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8130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soluble TOC, Day 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Actual TOC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12"/>
              <c:pt idx="0">
                <c:v>A1</c:v>
              </c:pt>
              <c:pt idx="1">
                <c:v>A2</c:v>
              </c:pt>
              <c:pt idx="2">
                <c:v>B1</c:v>
              </c:pt>
              <c:pt idx="3">
                <c:v>B2</c:v>
              </c:pt>
              <c:pt idx="4">
                <c:v>C1</c:v>
              </c:pt>
              <c:pt idx="5">
                <c:v>C2</c:v>
              </c:pt>
              <c:pt idx="6">
                <c:v>D1</c:v>
              </c:pt>
              <c:pt idx="7">
                <c:v>D2</c:v>
              </c:pt>
              <c:pt idx="8">
                <c:v>E1</c:v>
              </c:pt>
              <c:pt idx="9">
                <c:v>E2</c:v>
              </c:pt>
              <c:pt idx="10">
                <c:v>F1</c:v>
              </c:pt>
              <c:pt idx="11">
                <c:v>F2</c:v>
              </c:pt>
            </c:strLit>
          </c:cat>
          <c:val>
            <c:numLit>
              <c:formatCode>General</c:formatCode>
              <c:ptCount val="12"/>
              <c:pt idx="0">
                <c:v>3683.8237869338441</c:v>
              </c:pt>
              <c:pt idx="1">
                <c:v>3579.47696609576</c:v>
              </c:pt>
              <c:pt idx="2">
                <c:v>5646.3420632239549</c:v>
              </c:pt>
              <c:pt idx="3">
                <c:v>5936.0904094852922</c:v>
              </c:pt>
              <c:pt idx="4">
                <c:v>5375.777472730877</c:v>
              </c:pt>
              <c:pt idx="5">
                <c:v>5726.0874914499673</c:v>
              </c:pt>
              <c:pt idx="6">
                <c:v>3492.390609199007</c:v>
              </c:pt>
              <c:pt idx="7">
                <c:v>3492.9283055232881</c:v>
              </c:pt>
              <c:pt idx="8">
                <c:v>5477.5618998275331</c:v>
              </c:pt>
              <c:pt idx="9">
                <c:v>5598.3491276595914</c:v>
              </c:pt>
              <c:pt idx="10">
                <c:v>5612.1182448625059</c:v>
              </c:pt>
              <c:pt idx="11">
                <c:v>5858.3823379101295</c:v>
              </c:pt>
            </c:numLit>
          </c:val>
          <c:extLst>
            <c:ext xmlns:c16="http://schemas.microsoft.com/office/drawing/2014/chart" uri="{C3380CC4-5D6E-409C-BE32-E72D297353CC}">
              <c16:uniqueId val="{00000000-4169-43CB-A7A4-042E2C7A18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100"/>
        <c:axId val="676125640"/>
        <c:axId val="676125312"/>
        <c:extLst/>
      </c:barChart>
      <c:catAx>
        <c:axId val="67612564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125312"/>
        <c:crosses val="autoZero"/>
        <c:auto val="1"/>
        <c:lblAlgn val="ctr"/>
        <c:lblOffset val="100"/>
        <c:noMultiLvlLbl val="0"/>
      </c:catAx>
      <c:valAx>
        <c:axId val="676125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Soluble</a:t>
                </a:r>
                <a:r>
                  <a:rPr lang="en-GB" baseline="0"/>
                  <a:t> TOC (mg/L)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125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DoA, day 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11"/>
              <c:pt idx="0">
                <c:v>pH 10 </c:v>
              </c:pt>
              <c:pt idx="2">
                <c:v>pH 8.5</c:v>
              </c:pt>
              <c:pt idx="4">
                <c:v>pH 7 </c:v>
              </c:pt>
              <c:pt idx="6">
                <c:v>pH 10 + CaCO3</c:v>
              </c:pt>
              <c:pt idx="8">
                <c:v>pH 8.5 + CaCO3</c:v>
              </c:pt>
              <c:pt idx="10">
                <c:v>pH 7 + CaCO3</c:v>
              </c:pt>
            </c:strLit>
          </c:cat>
          <c:val>
            <c:numLit>
              <c:formatCode>0.00%</c:formatCode>
              <c:ptCount val="6"/>
              <c:pt idx="0">
                <c:v>0.47447545758430032</c:v>
              </c:pt>
              <c:pt idx="1">
                <c:v>0.85515579437441636</c:v>
              </c:pt>
              <c:pt idx="2">
                <c:v>0.80167370312066644</c:v>
              </c:pt>
              <c:pt idx="3">
                <c:v>0.47726762525581878</c:v>
              </c:pt>
              <c:pt idx="4">
                <c:v>0.83601582556368381</c:v>
              </c:pt>
              <c:pt idx="5">
                <c:v>0.83237432888221319</c:v>
              </c:pt>
            </c:numLit>
          </c:val>
          <c:extLst>
            <c:ext xmlns:c16="http://schemas.microsoft.com/office/drawing/2014/chart" uri="{C3380CC4-5D6E-409C-BE32-E72D297353CC}">
              <c16:uniqueId val="{00000000-6C4B-4DA7-B4D4-E5CC9F2D2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6125640"/>
        <c:axId val="676125312"/>
        <c:extLst/>
      </c:barChart>
      <c:catAx>
        <c:axId val="67612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125312"/>
        <c:crosses val="autoZero"/>
        <c:auto val="1"/>
        <c:lblAlgn val="ctr"/>
        <c:lblOffset val="100"/>
        <c:noMultiLvlLbl val="0"/>
      </c:catAx>
      <c:valAx>
        <c:axId val="676125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125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 pH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10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Lit>
              <c:formatCode>General</c:formatCode>
              <c:ptCount val="17"/>
              <c:pt idx="0">
                <c:v>0</c:v>
              </c:pt>
              <c:pt idx="1">
                <c:v>1E-4</c:v>
              </c:pt>
              <c:pt idx="2">
                <c:v>1</c:v>
              </c:pt>
              <c:pt idx="3">
                <c:v>1.0001</c:v>
              </c:pt>
              <c:pt idx="4">
                <c:v>2</c:v>
              </c:pt>
              <c:pt idx="5">
                <c:v>2.0001000000000002</c:v>
              </c:pt>
              <c:pt idx="6">
                <c:v>3</c:v>
              </c:pt>
              <c:pt idx="7">
                <c:v>3.0001000000000002</c:v>
              </c:pt>
              <c:pt idx="8">
                <c:v>4</c:v>
              </c:pt>
              <c:pt idx="9">
                <c:v>4.0000999999999998</c:v>
              </c:pt>
              <c:pt idx="10">
                <c:v>5</c:v>
              </c:pt>
              <c:pt idx="11">
                <c:v>5.0000999999999998</c:v>
              </c:pt>
              <c:pt idx="12">
                <c:v>6</c:v>
              </c:pt>
              <c:pt idx="13">
                <c:v>6.0000999999999998</c:v>
              </c:pt>
              <c:pt idx="14">
                <c:v>7</c:v>
              </c:pt>
              <c:pt idx="15">
                <c:v>7.0000999999999998</c:v>
              </c:pt>
              <c:pt idx="16">
                <c:v>8</c:v>
              </c:pt>
            </c:numLit>
          </c:xVal>
          <c:yVal>
            <c:numLit>
              <c:formatCode>General</c:formatCode>
              <c:ptCount val="17"/>
              <c:pt idx="0">
                <c:v>7.8149999999999995</c:v>
              </c:pt>
              <c:pt idx="1">
                <c:v>10.18</c:v>
              </c:pt>
              <c:pt idx="2">
                <c:v>6.41</c:v>
              </c:pt>
              <c:pt idx="3">
                <c:v>10.100000000000001</c:v>
              </c:pt>
              <c:pt idx="4">
                <c:v>9.4549999999999983</c:v>
              </c:pt>
              <c:pt idx="5">
                <c:v>10.055</c:v>
              </c:pt>
              <c:pt idx="6">
                <c:v>9.5250000000000004</c:v>
              </c:pt>
              <c:pt idx="7">
                <c:v>10.045</c:v>
              </c:pt>
              <c:pt idx="8">
                <c:v>9.73</c:v>
              </c:pt>
              <c:pt idx="9">
                <c:v>10.004999999999999</c:v>
              </c:pt>
              <c:pt idx="10">
                <c:v>8.8149999999999995</c:v>
              </c:pt>
              <c:pt idx="11">
                <c:v>10.06</c:v>
              </c:pt>
              <c:pt idx="12">
                <c:v>9.8150000000000013</c:v>
              </c:pt>
              <c:pt idx="13">
                <c:v>10.050000000000001</c:v>
              </c:pt>
              <c:pt idx="14">
                <c:v>9.77</c:v>
              </c:pt>
              <c:pt idx="15">
                <c:v>10.004999999999999</c:v>
              </c:pt>
              <c:pt idx="16">
                <c:v>9.7349999999999994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3F-0DD3-4DAB-AFFC-4D05E47695C1}"/>
            </c:ext>
          </c:extLst>
        </c:ser>
        <c:ser>
          <c:idx val="1"/>
          <c:order val="1"/>
          <c:tx>
            <c:v>pH 8.5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Lit>
              <c:formatCode>General</c:formatCode>
              <c:ptCount val="17"/>
              <c:pt idx="0">
                <c:v>0</c:v>
              </c:pt>
              <c:pt idx="1">
                <c:v>1E-4</c:v>
              </c:pt>
              <c:pt idx="2">
                <c:v>1</c:v>
              </c:pt>
              <c:pt idx="3">
                <c:v>1.0001</c:v>
              </c:pt>
              <c:pt idx="4">
                <c:v>2</c:v>
              </c:pt>
              <c:pt idx="5">
                <c:v>2.0001000000000002</c:v>
              </c:pt>
              <c:pt idx="6">
                <c:v>3</c:v>
              </c:pt>
              <c:pt idx="7">
                <c:v>3.0001000000000002</c:v>
              </c:pt>
              <c:pt idx="8">
                <c:v>4</c:v>
              </c:pt>
              <c:pt idx="9">
                <c:v>4.0000999999999998</c:v>
              </c:pt>
              <c:pt idx="10">
                <c:v>5</c:v>
              </c:pt>
              <c:pt idx="11">
                <c:v>5.0000999999999998</c:v>
              </c:pt>
              <c:pt idx="12">
                <c:v>6</c:v>
              </c:pt>
              <c:pt idx="13">
                <c:v>6.0000999999999998</c:v>
              </c:pt>
              <c:pt idx="14">
                <c:v>7</c:v>
              </c:pt>
              <c:pt idx="15">
                <c:v>7.0000999999999998</c:v>
              </c:pt>
              <c:pt idx="16">
                <c:v>8</c:v>
              </c:pt>
            </c:numLit>
          </c:xVal>
          <c:yVal>
            <c:numLit>
              <c:formatCode>General</c:formatCode>
              <c:ptCount val="17"/>
              <c:pt idx="0">
                <c:v>7.5549999999999997</c:v>
              </c:pt>
              <c:pt idx="1">
                <c:v>8.5949999999999989</c:v>
              </c:pt>
              <c:pt idx="2">
                <c:v>5.1099999999999994</c:v>
              </c:pt>
              <c:pt idx="3">
                <c:v>8.5599999999999987</c:v>
              </c:pt>
              <c:pt idx="4">
                <c:v>6.17</c:v>
              </c:pt>
              <c:pt idx="5">
                <c:v>8.5650000000000013</c:v>
              </c:pt>
              <c:pt idx="6">
                <c:v>6.9399999999999995</c:v>
              </c:pt>
              <c:pt idx="7">
                <c:v>8.51</c:v>
              </c:pt>
              <c:pt idx="8">
                <c:v>7.29</c:v>
              </c:pt>
              <c:pt idx="9">
                <c:v>8.59</c:v>
              </c:pt>
              <c:pt idx="10">
                <c:v>7.5549999999999997</c:v>
              </c:pt>
              <c:pt idx="11">
                <c:v>8.5599999999999987</c:v>
              </c:pt>
              <c:pt idx="12">
                <c:v>6.6099999999999994</c:v>
              </c:pt>
              <c:pt idx="13">
                <c:v>8.5599999999999987</c:v>
              </c:pt>
              <c:pt idx="14">
                <c:v>6.4950000000000001</c:v>
              </c:pt>
              <c:pt idx="15">
                <c:v>8.6</c:v>
              </c:pt>
              <c:pt idx="16">
                <c:v>6.63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40-0DD3-4DAB-AFFC-4D05E47695C1}"/>
            </c:ext>
          </c:extLst>
        </c:ser>
        <c:ser>
          <c:idx val="2"/>
          <c:order val="2"/>
          <c:tx>
            <c:v>pH 7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Lit>
              <c:formatCode>General</c:formatCode>
              <c:ptCount val="17"/>
              <c:pt idx="0">
                <c:v>0</c:v>
              </c:pt>
              <c:pt idx="1">
                <c:v>1E-4</c:v>
              </c:pt>
              <c:pt idx="2">
                <c:v>1</c:v>
              </c:pt>
              <c:pt idx="3">
                <c:v>1.0001</c:v>
              </c:pt>
              <c:pt idx="4">
                <c:v>2</c:v>
              </c:pt>
              <c:pt idx="5">
                <c:v>2.0001000000000002</c:v>
              </c:pt>
              <c:pt idx="6">
                <c:v>3</c:v>
              </c:pt>
              <c:pt idx="7">
                <c:v>3.0001000000000002</c:v>
              </c:pt>
              <c:pt idx="8">
                <c:v>4</c:v>
              </c:pt>
              <c:pt idx="9">
                <c:v>4.0000999999999998</c:v>
              </c:pt>
              <c:pt idx="10">
                <c:v>5</c:v>
              </c:pt>
              <c:pt idx="11">
                <c:v>5.0000999999999998</c:v>
              </c:pt>
              <c:pt idx="12">
                <c:v>6</c:v>
              </c:pt>
              <c:pt idx="13">
                <c:v>6.0000999999999998</c:v>
              </c:pt>
              <c:pt idx="14">
                <c:v>7</c:v>
              </c:pt>
              <c:pt idx="15">
                <c:v>7.0000999999999998</c:v>
              </c:pt>
              <c:pt idx="16">
                <c:v>8</c:v>
              </c:pt>
            </c:numLit>
          </c:xVal>
          <c:yVal>
            <c:numLit>
              <c:formatCode>General</c:formatCode>
              <c:ptCount val="17"/>
              <c:pt idx="0">
                <c:v>7.5449999999999999</c:v>
              </c:pt>
              <c:pt idx="1">
                <c:v>7.5449999999999999</c:v>
              </c:pt>
              <c:pt idx="2">
                <c:v>5.1050000000000004</c:v>
              </c:pt>
              <c:pt idx="3">
                <c:v>7.3900000000000006</c:v>
              </c:pt>
              <c:pt idx="4">
                <c:v>6.0350000000000001</c:v>
              </c:pt>
              <c:pt idx="5">
                <c:v>7.1850000000000005</c:v>
              </c:pt>
              <c:pt idx="6">
                <c:v>6.5449999999999999</c:v>
              </c:pt>
              <c:pt idx="7">
                <c:v>7.085</c:v>
              </c:pt>
              <c:pt idx="8">
                <c:v>6.8800000000000008</c:v>
              </c:pt>
              <c:pt idx="9">
                <c:v>7.0150000000000006</c:v>
              </c:pt>
              <c:pt idx="10">
                <c:v>7.5449999999999999</c:v>
              </c:pt>
              <c:pt idx="11">
                <c:v>7.0549999999999997</c:v>
              </c:pt>
              <c:pt idx="12">
                <c:v>5.6549999999999994</c:v>
              </c:pt>
              <c:pt idx="13">
                <c:v>7.0350000000000001</c:v>
              </c:pt>
              <c:pt idx="14">
                <c:v>6.52</c:v>
              </c:pt>
              <c:pt idx="15">
                <c:v>7.1099999999999994</c:v>
              </c:pt>
              <c:pt idx="16">
                <c:v>6.875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41-0DD3-4DAB-AFFC-4D05E47695C1}"/>
            </c:ext>
          </c:extLst>
        </c:ser>
        <c:ser>
          <c:idx val="3"/>
          <c:order val="3"/>
          <c:tx>
            <c:v>pH 10 + CaCO3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Lit>
              <c:formatCode>General</c:formatCode>
              <c:ptCount val="17"/>
              <c:pt idx="0">
                <c:v>0</c:v>
              </c:pt>
              <c:pt idx="1">
                <c:v>1E-4</c:v>
              </c:pt>
              <c:pt idx="2">
                <c:v>1</c:v>
              </c:pt>
              <c:pt idx="3">
                <c:v>1.0001</c:v>
              </c:pt>
              <c:pt idx="4">
                <c:v>2</c:v>
              </c:pt>
              <c:pt idx="5">
                <c:v>2.0001000000000002</c:v>
              </c:pt>
              <c:pt idx="6">
                <c:v>3</c:v>
              </c:pt>
              <c:pt idx="7">
                <c:v>3.0001000000000002</c:v>
              </c:pt>
              <c:pt idx="8">
                <c:v>4</c:v>
              </c:pt>
              <c:pt idx="9">
                <c:v>4.0000999999999998</c:v>
              </c:pt>
              <c:pt idx="10">
                <c:v>5</c:v>
              </c:pt>
              <c:pt idx="11">
                <c:v>5.0000999999999998</c:v>
              </c:pt>
              <c:pt idx="12">
                <c:v>6</c:v>
              </c:pt>
              <c:pt idx="13">
                <c:v>6.0000999999999998</c:v>
              </c:pt>
              <c:pt idx="14">
                <c:v>7</c:v>
              </c:pt>
              <c:pt idx="15">
                <c:v>7.0000999999999998</c:v>
              </c:pt>
              <c:pt idx="16">
                <c:v>8</c:v>
              </c:pt>
            </c:numLit>
          </c:xVal>
          <c:yVal>
            <c:numLit>
              <c:formatCode>General</c:formatCode>
              <c:ptCount val="17"/>
              <c:pt idx="0">
                <c:v>7.7850000000000001</c:v>
              </c:pt>
              <c:pt idx="1">
                <c:v>10.245000000000001</c:v>
              </c:pt>
              <c:pt idx="2">
                <c:v>6.4749999999999996</c:v>
              </c:pt>
              <c:pt idx="3">
                <c:v>10.145</c:v>
              </c:pt>
              <c:pt idx="4">
                <c:v>9.4149999999999991</c:v>
              </c:pt>
              <c:pt idx="5">
                <c:v>10.055</c:v>
              </c:pt>
              <c:pt idx="6">
                <c:v>9.5399999999999991</c:v>
              </c:pt>
              <c:pt idx="7">
                <c:v>10.039999999999999</c:v>
              </c:pt>
              <c:pt idx="8">
                <c:v>9.6349999999999998</c:v>
              </c:pt>
              <c:pt idx="9">
                <c:v>10.030000000000001</c:v>
              </c:pt>
              <c:pt idx="10">
                <c:v>7.7850000000000001</c:v>
              </c:pt>
              <c:pt idx="11">
                <c:v>10.120000000000001</c:v>
              </c:pt>
              <c:pt idx="12">
                <c:v>9.86</c:v>
              </c:pt>
              <c:pt idx="13">
                <c:v>10.039999999999999</c:v>
              </c:pt>
              <c:pt idx="14">
                <c:v>9.75</c:v>
              </c:pt>
              <c:pt idx="15">
                <c:v>10.015000000000001</c:v>
              </c:pt>
              <c:pt idx="16">
                <c:v>9.75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42-0DD3-4DAB-AFFC-4D05E47695C1}"/>
            </c:ext>
          </c:extLst>
        </c:ser>
        <c:ser>
          <c:idx val="4"/>
          <c:order val="4"/>
          <c:tx>
            <c:v>pH 8.5 + CaCO3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Lit>
              <c:formatCode>General</c:formatCode>
              <c:ptCount val="17"/>
              <c:pt idx="0">
                <c:v>0</c:v>
              </c:pt>
              <c:pt idx="1">
                <c:v>1E-4</c:v>
              </c:pt>
              <c:pt idx="2">
                <c:v>1</c:v>
              </c:pt>
              <c:pt idx="3">
                <c:v>1.0001</c:v>
              </c:pt>
              <c:pt idx="4">
                <c:v>2</c:v>
              </c:pt>
              <c:pt idx="5">
                <c:v>2.0001000000000002</c:v>
              </c:pt>
              <c:pt idx="6">
                <c:v>3</c:v>
              </c:pt>
              <c:pt idx="7">
                <c:v>3.0001000000000002</c:v>
              </c:pt>
              <c:pt idx="8">
                <c:v>4</c:v>
              </c:pt>
              <c:pt idx="9">
                <c:v>4.0000999999999998</c:v>
              </c:pt>
              <c:pt idx="10">
                <c:v>5</c:v>
              </c:pt>
              <c:pt idx="11">
                <c:v>5.0000999999999998</c:v>
              </c:pt>
              <c:pt idx="12">
                <c:v>6</c:v>
              </c:pt>
              <c:pt idx="13">
                <c:v>6.0000999999999998</c:v>
              </c:pt>
              <c:pt idx="14">
                <c:v>7</c:v>
              </c:pt>
              <c:pt idx="15">
                <c:v>7.0000999999999998</c:v>
              </c:pt>
              <c:pt idx="16">
                <c:v>8</c:v>
              </c:pt>
            </c:numLit>
          </c:xVal>
          <c:yVal>
            <c:numLit>
              <c:formatCode>General</c:formatCode>
              <c:ptCount val="17"/>
              <c:pt idx="0">
                <c:v>7.5750000000000002</c:v>
              </c:pt>
              <c:pt idx="1">
                <c:v>8.5649999999999995</c:v>
              </c:pt>
              <c:pt idx="2">
                <c:v>5.2549999999999999</c:v>
              </c:pt>
              <c:pt idx="3">
                <c:v>8.5249999999999986</c:v>
              </c:pt>
              <c:pt idx="4">
                <c:v>6.09</c:v>
              </c:pt>
              <c:pt idx="5">
                <c:v>8.5449999999999999</c:v>
              </c:pt>
              <c:pt idx="6">
                <c:v>6.7949999999999999</c:v>
              </c:pt>
              <c:pt idx="7">
                <c:v>8.6150000000000002</c:v>
              </c:pt>
              <c:pt idx="8">
                <c:v>7.4350000000000005</c:v>
              </c:pt>
              <c:pt idx="9">
                <c:v>8.57</c:v>
              </c:pt>
              <c:pt idx="10">
                <c:v>7.5750000000000002</c:v>
              </c:pt>
              <c:pt idx="11">
                <c:v>8.5449999999999999</c:v>
              </c:pt>
              <c:pt idx="12">
                <c:v>6.98</c:v>
              </c:pt>
              <c:pt idx="13">
                <c:v>8.59</c:v>
              </c:pt>
              <c:pt idx="14">
                <c:v>6.64</c:v>
              </c:pt>
              <c:pt idx="15">
                <c:v>8.65</c:v>
              </c:pt>
              <c:pt idx="16">
                <c:v>6.6999999999999993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43-0DD3-4DAB-AFFC-4D05E47695C1}"/>
            </c:ext>
          </c:extLst>
        </c:ser>
        <c:ser>
          <c:idx val="5"/>
          <c:order val="5"/>
          <c:tx>
            <c:v>pH 7 + CaCO3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Lit>
              <c:formatCode>General</c:formatCode>
              <c:ptCount val="17"/>
              <c:pt idx="0">
                <c:v>0</c:v>
              </c:pt>
              <c:pt idx="1">
                <c:v>1E-4</c:v>
              </c:pt>
              <c:pt idx="2">
                <c:v>1</c:v>
              </c:pt>
              <c:pt idx="3">
                <c:v>1.0001</c:v>
              </c:pt>
              <c:pt idx="4">
                <c:v>2</c:v>
              </c:pt>
              <c:pt idx="5">
                <c:v>2.0001000000000002</c:v>
              </c:pt>
              <c:pt idx="6">
                <c:v>3</c:v>
              </c:pt>
              <c:pt idx="7">
                <c:v>3.0001000000000002</c:v>
              </c:pt>
              <c:pt idx="8">
                <c:v>4</c:v>
              </c:pt>
              <c:pt idx="9">
                <c:v>4.0000999999999998</c:v>
              </c:pt>
              <c:pt idx="10">
                <c:v>5</c:v>
              </c:pt>
              <c:pt idx="11">
                <c:v>5.0000999999999998</c:v>
              </c:pt>
              <c:pt idx="12">
                <c:v>6</c:v>
              </c:pt>
              <c:pt idx="13">
                <c:v>6.0000999999999998</c:v>
              </c:pt>
              <c:pt idx="14">
                <c:v>7</c:v>
              </c:pt>
              <c:pt idx="15">
                <c:v>7.0000999999999998</c:v>
              </c:pt>
              <c:pt idx="16">
                <c:v>8</c:v>
              </c:pt>
            </c:numLit>
          </c:xVal>
          <c:yVal>
            <c:numLit>
              <c:formatCode>General</c:formatCode>
              <c:ptCount val="17"/>
              <c:pt idx="0">
                <c:v>7.5750000000000002</c:v>
              </c:pt>
              <c:pt idx="1">
                <c:v>7.5750000000000002</c:v>
              </c:pt>
              <c:pt idx="2">
                <c:v>5.2200000000000006</c:v>
              </c:pt>
              <c:pt idx="3">
                <c:v>7.4450000000000003</c:v>
              </c:pt>
              <c:pt idx="4">
                <c:v>6.0950000000000006</c:v>
              </c:pt>
              <c:pt idx="5">
                <c:v>7.18</c:v>
              </c:pt>
              <c:pt idx="6">
                <c:v>6.5549999999999997</c:v>
              </c:pt>
              <c:pt idx="7">
                <c:v>7.085</c:v>
              </c:pt>
              <c:pt idx="8">
                <c:v>6.83</c:v>
              </c:pt>
              <c:pt idx="9">
                <c:v>7.08</c:v>
              </c:pt>
              <c:pt idx="10">
                <c:v>7.5750000000000002</c:v>
              </c:pt>
              <c:pt idx="11">
                <c:v>7.0950000000000006</c:v>
              </c:pt>
              <c:pt idx="12">
                <c:v>5.67</c:v>
              </c:pt>
              <c:pt idx="13">
                <c:v>7.4249999999999998</c:v>
              </c:pt>
              <c:pt idx="14">
                <c:v>6.5350000000000001</c:v>
              </c:pt>
              <c:pt idx="15">
                <c:v>7.0149999999999997</c:v>
              </c:pt>
              <c:pt idx="16">
                <c:v>6.4950000000000001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44-0DD3-4DAB-AFFC-4D05E4769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2795504"/>
        <c:axId val="1612792176"/>
      </c:scatterChart>
      <c:valAx>
        <c:axId val="1612795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2792176"/>
        <c:crosses val="autoZero"/>
        <c:crossBetween val="midCat"/>
      </c:valAx>
      <c:valAx>
        <c:axId val="1612792176"/>
        <c:scaling>
          <c:orientation val="minMax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2795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 average</a:t>
            </a:r>
            <a:r>
              <a:rPr lang="en-GB" baseline="0"/>
              <a:t> </a:t>
            </a:r>
            <a:r>
              <a:rPr lang="en-GB"/>
              <a:t>pH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Lit>
              <c:formatCode>General</c:formatCode>
              <c:ptCount val="9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</c:numLit>
          </c:xVal>
          <c:yVal>
            <c:numLit>
              <c:formatCode>General</c:formatCode>
              <c:ptCount val="9"/>
              <c:pt idx="0">
                <c:v>10.18</c:v>
              </c:pt>
              <c:pt idx="1">
                <c:v>8.2949999999999999</c:v>
              </c:pt>
              <c:pt idx="2">
                <c:v>9.7774999999999999</c:v>
              </c:pt>
              <c:pt idx="3">
                <c:v>9.7899999999999991</c:v>
              </c:pt>
              <c:pt idx="4">
                <c:v>9.8874999999999993</c:v>
              </c:pt>
              <c:pt idx="5">
                <c:v>9.41</c:v>
              </c:pt>
              <c:pt idx="6">
                <c:v>9.9375</c:v>
              </c:pt>
              <c:pt idx="7">
                <c:v>9.91</c:v>
              </c:pt>
              <c:pt idx="8">
                <c:v>9.8699999999999992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6423-441A-BBD2-6BCA45BA095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Lit>
              <c:formatCode>General</c:formatCode>
              <c:ptCount val="9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</c:numLit>
          </c:xVal>
          <c:yVal>
            <c:numLit>
              <c:formatCode>General</c:formatCode>
              <c:ptCount val="9"/>
              <c:pt idx="0">
                <c:v>8.5949999999999989</c:v>
              </c:pt>
              <c:pt idx="1">
                <c:v>6.8524999999999991</c:v>
              </c:pt>
              <c:pt idx="2">
                <c:v>7.3649999999999993</c:v>
              </c:pt>
              <c:pt idx="3">
                <c:v>7.7525000000000004</c:v>
              </c:pt>
              <c:pt idx="4">
                <c:v>7.9</c:v>
              </c:pt>
              <c:pt idx="5">
                <c:v>8.0724999999999998</c:v>
              </c:pt>
              <c:pt idx="6">
                <c:v>7.5849999999999991</c:v>
              </c:pt>
              <c:pt idx="7">
                <c:v>7.5274999999999999</c:v>
              </c:pt>
              <c:pt idx="8">
                <c:v>7.6150000000000002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6423-441A-BBD2-6BCA45BA0952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Lit>
              <c:formatCode>General</c:formatCode>
              <c:ptCount val="9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</c:numLit>
          </c:xVal>
          <c:yVal>
            <c:numLit>
              <c:formatCode>General</c:formatCode>
              <c:ptCount val="9"/>
              <c:pt idx="0">
                <c:v>7.5449999999999999</c:v>
              </c:pt>
              <c:pt idx="1">
                <c:v>6.3250000000000002</c:v>
              </c:pt>
              <c:pt idx="2">
                <c:v>6.7125000000000004</c:v>
              </c:pt>
              <c:pt idx="3">
                <c:v>6.8650000000000002</c:v>
              </c:pt>
              <c:pt idx="4">
                <c:v>6.9824999999999999</c:v>
              </c:pt>
              <c:pt idx="5">
                <c:v>7.28</c:v>
              </c:pt>
              <c:pt idx="6">
                <c:v>6.3549999999999995</c:v>
              </c:pt>
              <c:pt idx="7">
                <c:v>6.7774999999999999</c:v>
              </c:pt>
              <c:pt idx="8">
                <c:v>6.9924999999999997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6423-441A-BBD2-6BCA45BA0952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Lit>
              <c:formatCode>General</c:formatCode>
              <c:ptCount val="9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</c:numLit>
          </c:xVal>
          <c:yVal>
            <c:numLit>
              <c:formatCode>General</c:formatCode>
              <c:ptCount val="9"/>
              <c:pt idx="0">
                <c:v>10.245000000000001</c:v>
              </c:pt>
              <c:pt idx="1">
                <c:v>8.36</c:v>
              </c:pt>
              <c:pt idx="2">
                <c:v>9.7799999999999994</c:v>
              </c:pt>
              <c:pt idx="3">
                <c:v>9.7974999999999994</c:v>
              </c:pt>
              <c:pt idx="4">
                <c:v>9.8374999999999986</c:v>
              </c:pt>
              <c:pt idx="5">
                <c:v>8.9075000000000006</c:v>
              </c:pt>
              <c:pt idx="6">
                <c:v>9.99</c:v>
              </c:pt>
              <c:pt idx="7">
                <c:v>9.8949999999999996</c:v>
              </c:pt>
              <c:pt idx="8">
                <c:v>9.8825000000000003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6423-441A-BBD2-6BCA45BA0952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Lit>
              <c:formatCode>General</c:formatCode>
              <c:ptCount val="9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</c:numLit>
          </c:xVal>
          <c:yVal>
            <c:numLit>
              <c:formatCode>General</c:formatCode>
              <c:ptCount val="9"/>
              <c:pt idx="0">
                <c:v>8.5649999999999995</c:v>
              </c:pt>
              <c:pt idx="1">
                <c:v>6.91</c:v>
              </c:pt>
              <c:pt idx="2">
                <c:v>7.3074999999999992</c:v>
              </c:pt>
              <c:pt idx="3">
                <c:v>7.67</c:v>
              </c:pt>
              <c:pt idx="4">
                <c:v>8.0250000000000004</c:v>
              </c:pt>
              <c:pt idx="5">
                <c:v>8.0724999999999998</c:v>
              </c:pt>
              <c:pt idx="6">
                <c:v>7.7625000000000002</c:v>
              </c:pt>
              <c:pt idx="7">
                <c:v>7.6150000000000002</c:v>
              </c:pt>
              <c:pt idx="8">
                <c:v>7.6749999999999998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6423-441A-BBD2-6BCA45BA0952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Lit>
              <c:formatCode>General</c:formatCode>
              <c:ptCount val="9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</c:numLit>
          </c:xVal>
          <c:yVal>
            <c:numLit>
              <c:formatCode>General</c:formatCode>
              <c:ptCount val="9"/>
              <c:pt idx="0">
                <c:v>7.5750000000000002</c:v>
              </c:pt>
              <c:pt idx="1">
                <c:v>6.3975000000000009</c:v>
              </c:pt>
              <c:pt idx="2">
                <c:v>6.7700000000000005</c:v>
              </c:pt>
              <c:pt idx="3">
                <c:v>6.8674999999999997</c:v>
              </c:pt>
              <c:pt idx="4">
                <c:v>6.9574999999999996</c:v>
              </c:pt>
              <c:pt idx="5">
                <c:v>7.3275000000000006</c:v>
              </c:pt>
              <c:pt idx="6">
                <c:v>6.3825000000000003</c:v>
              </c:pt>
              <c:pt idx="7">
                <c:v>6.98</c:v>
              </c:pt>
              <c:pt idx="8">
                <c:v>6.7549999999999999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6423-441A-BBD2-6BCA45BA09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2795504"/>
        <c:axId val="1612792176"/>
      </c:scatterChart>
      <c:valAx>
        <c:axId val="1612795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2792176"/>
        <c:crosses val="autoZero"/>
        <c:crossBetween val="midCat"/>
      </c:valAx>
      <c:valAx>
        <c:axId val="1612792176"/>
        <c:scaling>
          <c:orientation val="minMax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2795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pH 10 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Lit>
              <c:formatCode>General</c:formatCode>
              <c:ptCount val="4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8</c:v>
              </c:pt>
            </c:numLit>
          </c:xVal>
          <c:yVal>
            <c:numLit>
              <c:formatCode>General</c:formatCode>
              <c:ptCount val="4"/>
              <c:pt idx="0" formatCode="0.00">
                <c:v>13771.713717559735</c:v>
              </c:pt>
              <c:pt idx="1">
                <c:v>26584.733552018628</c:v>
              </c:pt>
              <c:pt idx="2">
                <c:v>18945.617213659523</c:v>
              </c:pt>
              <c:pt idx="3">
                <c:v>20482.570899265636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D7A-4B0A-823F-F39AD9D3E52B}"/>
            </c:ext>
          </c:extLst>
        </c:ser>
        <c:ser>
          <c:idx val="1"/>
          <c:order val="1"/>
          <c:tx>
            <c:v>pH 8.5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Lit>
              <c:formatCode>General</c:formatCode>
              <c:ptCount val="4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8</c:v>
              </c:pt>
            </c:numLit>
          </c:xVal>
          <c:yVal>
            <c:numLit>
              <c:formatCode>General</c:formatCode>
              <c:ptCount val="4"/>
              <c:pt idx="0" formatCode="0.00">
                <c:v>9845.6340058134228</c:v>
              </c:pt>
              <c:pt idx="1">
                <c:v>12813.019834458893</c:v>
              </c:pt>
              <c:pt idx="2">
                <c:v>13619.540085321503</c:v>
              </c:pt>
              <c:pt idx="3">
                <c:v>15719.536210209068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9D7A-4B0A-823F-F39AD9D3E52B}"/>
            </c:ext>
          </c:extLst>
        </c:ser>
        <c:ser>
          <c:idx val="2"/>
          <c:order val="2"/>
          <c:tx>
            <c:v>pH 7 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Lit>
              <c:formatCode>General</c:formatCode>
              <c:ptCount val="4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8</c:v>
              </c:pt>
            </c:numLit>
          </c:xVal>
          <c:yVal>
            <c:numLit>
              <c:formatCode>General</c:formatCode>
              <c:ptCount val="4"/>
              <c:pt idx="0" formatCode="0.00">
                <c:v>8795.6359433696434</c:v>
              </c:pt>
              <c:pt idx="1">
                <c:v>10789.110525690445</c:v>
              </c:pt>
              <c:pt idx="2">
                <c:v>11078.240426943081</c:v>
              </c:pt>
              <c:pt idx="3">
                <c:v>12599.976749325369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9D7A-4B0A-823F-F39AD9D3E52B}"/>
            </c:ext>
          </c:extLst>
        </c:ser>
        <c:ser>
          <c:idx val="3"/>
          <c:order val="3"/>
          <c:tx>
            <c:v>pH 10 + CaCO3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Lit>
              <c:formatCode>General</c:formatCode>
              <c:ptCount val="4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8</c:v>
              </c:pt>
            </c:numLit>
          </c:xVal>
          <c:yVal>
            <c:numLit>
              <c:formatCode>General</c:formatCode>
              <c:ptCount val="4"/>
              <c:pt idx="0" formatCode="0.00">
                <c:v>22263.002396452921</c:v>
              </c:pt>
              <c:pt idx="1">
                <c:v>30419.509084422003</c:v>
              </c:pt>
              <c:pt idx="2">
                <c:v>31043.42097659874</c:v>
              </c:pt>
              <c:pt idx="3">
                <c:v>34315.154069720666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9D7A-4B0A-823F-F39AD9D3E52B}"/>
            </c:ext>
          </c:extLst>
        </c:ser>
        <c:ser>
          <c:idx val="4"/>
          <c:order val="4"/>
          <c:tx>
            <c:v>pH 8.5 + CaCO3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Lit>
              <c:formatCode>General</c:formatCode>
              <c:ptCount val="4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8</c:v>
              </c:pt>
            </c:numLit>
          </c:xVal>
          <c:yVal>
            <c:numLit>
              <c:formatCode>General</c:formatCode>
              <c:ptCount val="4"/>
              <c:pt idx="0" formatCode="0.00">
                <c:v>17013.012084234015</c:v>
              </c:pt>
              <c:pt idx="1">
                <c:v>23830.39080850668</c:v>
              </c:pt>
              <c:pt idx="2">
                <c:v>22156.480853886162</c:v>
              </c:pt>
              <c:pt idx="3">
                <c:v>28076.035147953269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9D7A-4B0A-823F-F39AD9D3E52B}"/>
            </c:ext>
          </c:extLst>
        </c:ser>
        <c:ser>
          <c:idx val="5"/>
          <c:order val="5"/>
          <c:tx>
            <c:v>pH 7 + CaCO3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Lit>
              <c:formatCode>General</c:formatCode>
              <c:ptCount val="4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8</c:v>
              </c:pt>
            </c:numLit>
          </c:xVal>
          <c:yVal>
            <c:numLit>
              <c:formatCode>General</c:formatCode>
              <c:ptCount val="4"/>
              <c:pt idx="0" formatCode="0.00">
                <c:v>16328.230739161983</c:v>
              </c:pt>
              <c:pt idx="1">
                <c:v>22628.219113824671</c:v>
              </c:pt>
              <c:pt idx="2">
                <c:v>23373.86991179199</c:v>
              </c:pt>
              <c:pt idx="3">
                <c:v>22415.176028691149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9D7A-4B0A-823F-F39AD9D3E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5080703"/>
        <c:axId val="315081119"/>
      </c:scatterChart>
      <c:valAx>
        <c:axId val="315080703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081119"/>
        <c:crosses val="autoZero"/>
        <c:crossBetween val="midCat"/>
      </c:valAx>
      <c:valAx>
        <c:axId val="315081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Total</a:t>
                </a:r>
                <a:r>
                  <a:rPr lang="en-GB" baseline="0"/>
                  <a:t> alkalinity (mg/L)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0807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pH 10 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Lit>
              <c:formatCode>General</c:formatCode>
              <c:ptCount val="4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8</c:v>
              </c:pt>
            </c:numLit>
          </c:xVal>
          <c:yVal>
            <c:numLit>
              <c:formatCode>General</c:formatCode>
              <c:ptCount val="4"/>
              <c:pt idx="0" formatCode="0.00">
                <c:v>6528.2488230200288</c:v>
              </c:pt>
              <c:pt idx="1">
                <c:v>11595.630776553058</c:v>
              </c:pt>
              <c:pt idx="2">
                <c:v>12280.41212162509</c:v>
              </c:pt>
              <c:pt idx="3">
                <c:v>11656.500229448349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C034-4E99-B883-A7CC5083B482}"/>
            </c:ext>
          </c:extLst>
        </c:ser>
        <c:ser>
          <c:idx val="1"/>
          <c:order val="1"/>
          <c:tx>
            <c:v>pH 8.5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Lit>
              <c:formatCode>General</c:formatCode>
              <c:ptCount val="4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8</c:v>
              </c:pt>
            </c:numLit>
          </c:xVal>
          <c:yVal>
            <c:numLit>
              <c:formatCode>General</c:formatCode>
              <c:ptCount val="4"/>
              <c:pt idx="0" formatCode="0.00">
                <c:v>2282.6044835734365</c:v>
              </c:pt>
              <c:pt idx="1">
                <c:v>4093.4707072083629</c:v>
              </c:pt>
              <c:pt idx="2">
                <c:v>3667.3845369413211</c:v>
              </c:pt>
              <c:pt idx="3">
                <c:v>3713.0366266127894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C034-4E99-B883-A7CC5083B482}"/>
            </c:ext>
          </c:extLst>
        </c:ser>
        <c:ser>
          <c:idx val="2"/>
          <c:order val="2"/>
          <c:tx>
            <c:v>pH 7 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Lit>
              <c:formatCode>General</c:formatCode>
              <c:ptCount val="4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8</c:v>
              </c:pt>
            </c:numLit>
          </c:xVal>
          <c:yVal>
            <c:numLit>
              <c:formatCode>General</c:formatCode>
              <c:ptCount val="4"/>
              <c:pt idx="0" formatCode="0.00">
                <c:v>1095.6501521152495</c:v>
              </c:pt>
              <c:pt idx="1">
                <c:v>2876.0816493025304</c:v>
              </c:pt>
              <c:pt idx="2">
                <c:v>867.38970375790586</c:v>
              </c:pt>
              <c:pt idx="3">
                <c:v>2647.8212009451859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C034-4E99-B883-A7CC5083B482}"/>
            </c:ext>
          </c:extLst>
        </c:ser>
        <c:ser>
          <c:idx val="3"/>
          <c:order val="3"/>
          <c:tx>
            <c:v>pH 10 + CaCO3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Lit>
              <c:formatCode>General</c:formatCode>
              <c:ptCount val="4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8</c:v>
              </c:pt>
            </c:numLit>
          </c:xVal>
          <c:yVal>
            <c:numLit>
              <c:formatCode>General</c:formatCode>
              <c:ptCount val="4"/>
              <c:pt idx="0" formatCode="0.00">
                <c:v>6163.032105648279</c:v>
              </c:pt>
              <c:pt idx="1">
                <c:v>9921.7208219325385</c:v>
              </c:pt>
              <c:pt idx="2">
                <c:v>10347.806992199579</c:v>
              </c:pt>
              <c:pt idx="3">
                <c:v>12569.542022877726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C034-4E99-B883-A7CC5083B482}"/>
            </c:ext>
          </c:extLst>
        </c:ser>
        <c:ser>
          <c:idx val="4"/>
          <c:order val="4"/>
          <c:tx>
            <c:v>pH 8.5 + CaCO3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Lit>
              <c:formatCode>General</c:formatCode>
              <c:ptCount val="4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8</c:v>
              </c:pt>
            </c:numLit>
          </c:xVal>
          <c:yVal>
            <c:numLit>
              <c:formatCode>General</c:formatCode>
              <c:ptCount val="4"/>
              <c:pt idx="0" formatCode="0.00">
                <c:v>1826.0835868587492</c:v>
              </c:pt>
              <c:pt idx="1">
                <c:v>4123.9054336560093</c:v>
              </c:pt>
              <c:pt idx="2">
                <c:v>4063.0359807607174</c:v>
              </c:pt>
              <c:pt idx="3">
                <c:v>4747.8173258327479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C034-4E99-B883-A7CC5083B482}"/>
            </c:ext>
          </c:extLst>
        </c:ser>
        <c:ser>
          <c:idx val="5"/>
          <c:order val="5"/>
          <c:tx>
            <c:v>pH 7 + CaCO3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Lit>
              <c:formatCode>General</c:formatCode>
              <c:ptCount val="4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8</c:v>
              </c:pt>
            </c:numLit>
          </c:xVal>
          <c:yVal>
            <c:numLit>
              <c:formatCode>General</c:formatCode>
              <c:ptCount val="4"/>
              <c:pt idx="0" formatCode="0.00">
                <c:v>1126.0848785628955</c:v>
              </c:pt>
              <c:pt idx="1">
                <c:v>3758.6887162842595</c:v>
              </c:pt>
              <c:pt idx="2">
                <c:v>989.12860954848929</c:v>
              </c:pt>
              <c:pt idx="3">
                <c:v>1476.0842327108226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C034-4E99-B883-A7CC5083B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5080703"/>
        <c:axId val="315081119"/>
      </c:scatterChart>
      <c:valAx>
        <c:axId val="315080703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081119"/>
        <c:crosses val="autoZero"/>
        <c:crossBetween val="midCat"/>
      </c:valAx>
      <c:valAx>
        <c:axId val="315081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Partial </a:t>
                </a:r>
                <a:r>
                  <a:rPr lang="en-GB" baseline="0"/>
                  <a:t>alkalinity (mg/L)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0807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pH 10 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Lit>
              <c:formatCode>General</c:formatCode>
              <c:ptCount val="4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8</c:v>
              </c:pt>
            </c:numLit>
          </c:xVal>
          <c:yVal>
            <c:numLit>
              <c:formatCode>General</c:formatCode>
              <c:ptCount val="4"/>
              <c:pt idx="0" formatCode="0.00">
                <c:v>6269.5536482150383</c:v>
              </c:pt>
              <c:pt idx="1">
                <c:v>14106.495708483841</c:v>
              </c:pt>
              <c:pt idx="2">
                <c:v>5630.4243928144761</c:v>
              </c:pt>
              <c:pt idx="3">
                <c:v>7882.5941499402688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91F-4584-82F0-23E800FC4ADB}"/>
            </c:ext>
          </c:extLst>
        </c:ser>
        <c:ser>
          <c:idx val="1"/>
          <c:order val="1"/>
          <c:tx>
            <c:v>pH 8.5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Lit>
              <c:formatCode>General</c:formatCode>
              <c:ptCount val="4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8</c:v>
              </c:pt>
            </c:numLit>
          </c:xVal>
          <c:yVal>
            <c:numLit>
              <c:formatCode>General</c:formatCode>
              <c:ptCount val="4"/>
              <c:pt idx="0" formatCode="0.00">
                <c:v>6254.3362849912155</c:v>
              </c:pt>
              <c:pt idx="1">
                <c:v>7502.1600693446953</c:v>
              </c:pt>
              <c:pt idx="2">
                <c:v>8369.5497731026007</c:v>
              </c:pt>
              <c:pt idx="3">
                <c:v>10910.849431481027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F91F-4584-82F0-23E800FC4ADB}"/>
            </c:ext>
          </c:extLst>
        </c:ser>
        <c:ser>
          <c:idx val="2"/>
          <c:order val="2"/>
          <c:tx>
            <c:v>pH 7 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Lit>
              <c:formatCode>General</c:formatCode>
              <c:ptCount val="4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8</c:v>
              </c:pt>
            </c:numLit>
          </c:xVal>
          <c:yVal>
            <c:numLit>
              <c:formatCode>General</c:formatCode>
              <c:ptCount val="4"/>
              <c:pt idx="0" formatCode="0.00">
                <c:v>6239.1189217673937</c:v>
              </c:pt>
              <c:pt idx="1">
                <c:v>6665.2050920344354</c:v>
              </c:pt>
              <c:pt idx="2">
                <c:v>8658.6796743552368</c:v>
              </c:pt>
              <c:pt idx="3">
                <c:v>8856.5053962649345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F91F-4584-82F0-23E800FC4ADB}"/>
            </c:ext>
          </c:extLst>
        </c:ser>
        <c:ser>
          <c:idx val="3"/>
          <c:order val="3"/>
          <c:tx>
            <c:v>pH 10 + CaCO3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Lit>
              <c:formatCode>General</c:formatCode>
              <c:ptCount val="4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8</c:v>
              </c:pt>
            </c:numLit>
          </c:xVal>
          <c:yVal>
            <c:numLit>
              <c:formatCode>General</c:formatCode>
              <c:ptCount val="4"/>
              <c:pt idx="0" formatCode="0.00">
                <c:v>13817.365807231203</c:v>
              </c:pt>
              <c:pt idx="1">
                <c:v>19341.268657478922</c:v>
              </c:pt>
              <c:pt idx="2">
                <c:v>18291.270595035137</c:v>
              </c:pt>
              <c:pt idx="3">
                <c:v>16997.794721010192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F91F-4584-82F0-23E800FC4ADB}"/>
            </c:ext>
          </c:extLst>
        </c:ser>
        <c:ser>
          <c:idx val="4"/>
          <c:order val="4"/>
          <c:tx>
            <c:v>pH 8.5 + CaCO3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Lit>
              <c:formatCode>General</c:formatCode>
              <c:ptCount val="4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8</c:v>
              </c:pt>
            </c:numLit>
          </c:xVal>
          <c:yVal>
            <c:numLit>
              <c:formatCode>General</c:formatCode>
              <c:ptCount val="4"/>
              <c:pt idx="0" formatCode="0.00">
                <c:v>13695.626901440621</c:v>
              </c:pt>
              <c:pt idx="1">
                <c:v>17073.881537129306</c:v>
              </c:pt>
              <c:pt idx="2">
                <c:v>15232.580587046734</c:v>
              </c:pt>
              <c:pt idx="3">
                <c:v>20863.004979861209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F91F-4584-82F0-23E800FC4ADB}"/>
            </c:ext>
          </c:extLst>
        </c:ser>
        <c:ser>
          <c:idx val="5"/>
          <c:order val="5"/>
          <c:tx>
            <c:v>pH 7 + CaCO3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Lit>
              <c:formatCode>General</c:formatCode>
              <c:ptCount val="4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8</c:v>
              </c:pt>
            </c:numLit>
          </c:xVal>
          <c:yVal>
            <c:numLit>
              <c:formatCode>General</c:formatCode>
              <c:ptCount val="4"/>
              <c:pt idx="0" formatCode="0.00">
                <c:v>11367.370328195715</c:v>
              </c:pt>
              <c:pt idx="1">
                <c:v>16343.448102385806</c:v>
              </c:pt>
              <c:pt idx="2">
                <c:v>20741.266074070627</c:v>
              </c:pt>
              <c:pt idx="3">
                <c:v>18321.705321482783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F91F-4584-82F0-23E800FC4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5080703"/>
        <c:axId val="315081119"/>
      </c:scatterChart>
      <c:valAx>
        <c:axId val="315080703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081119"/>
        <c:crosses val="autoZero"/>
        <c:crossBetween val="midCat"/>
      </c:valAx>
      <c:valAx>
        <c:axId val="315081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Intermediate </a:t>
                </a:r>
                <a:r>
                  <a:rPr lang="en-GB" baseline="0"/>
                  <a:t>alkalinity (mg/L)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0807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TS%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6"/>
              <c:pt idx="0">
                <c:v>pH 10 </c:v>
              </c:pt>
              <c:pt idx="1">
                <c:v>pH 8.5</c:v>
              </c:pt>
              <c:pt idx="2">
                <c:v>pH 7 </c:v>
              </c:pt>
              <c:pt idx="3">
                <c:v>pH 10 + CaCO3</c:v>
              </c:pt>
              <c:pt idx="4">
                <c:v>pH 8.5 + CaCO3</c:v>
              </c:pt>
              <c:pt idx="5">
                <c:v>pH 7 + CaCO3</c:v>
              </c:pt>
            </c:strLit>
          </c:cat>
          <c:val>
            <c:numLit>
              <c:formatCode>0.00%</c:formatCode>
              <c:ptCount val="6"/>
              <c:pt idx="0">
                <c:v>6.7095898941491428E-2</c:v>
              </c:pt>
              <c:pt idx="1">
                <c:v>6.1396747884161322E-2</c:v>
              </c:pt>
              <c:pt idx="2">
                <c:v>5.8394654106973462E-2</c:v>
              </c:pt>
              <c:pt idx="3">
                <c:v>7.7522746307014778E-2</c:v>
              </c:pt>
              <c:pt idx="4">
                <c:v>7.1882007925529526E-2</c:v>
              </c:pt>
              <c:pt idx="5">
                <c:v>6.8036237490752369E-2</c:v>
              </c:pt>
            </c:numLit>
          </c:val>
          <c:extLst>
            <c:ext xmlns:c16="http://schemas.microsoft.com/office/drawing/2014/chart" uri="{C3380CC4-5D6E-409C-BE32-E72D297353CC}">
              <c16:uniqueId val="{00000000-49C3-4E73-A271-12CC59542363}"/>
            </c:ext>
          </c:extLst>
        </c:ser>
        <c:ser>
          <c:idx val="1"/>
          <c:order val="1"/>
          <c:tx>
            <c:v>VS%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6"/>
              <c:pt idx="0">
                <c:v>pH 10 </c:v>
              </c:pt>
              <c:pt idx="1">
                <c:v>pH 8.5</c:v>
              </c:pt>
              <c:pt idx="2">
                <c:v>pH 7 </c:v>
              </c:pt>
              <c:pt idx="3">
                <c:v>pH 10 + CaCO3</c:v>
              </c:pt>
              <c:pt idx="4">
                <c:v>pH 8.5 + CaCO3</c:v>
              </c:pt>
              <c:pt idx="5">
                <c:v>pH 7 + CaCO3</c:v>
              </c:pt>
            </c:strLit>
          </c:cat>
          <c:val>
            <c:numLit>
              <c:formatCode>0.00%</c:formatCode>
              <c:ptCount val="6"/>
              <c:pt idx="0">
                <c:v>4.2930990891296886E-2</c:v>
              </c:pt>
              <c:pt idx="1">
                <c:v>3.7430399258736202E-2</c:v>
              </c:pt>
              <c:pt idx="2">
                <c:v>3.663233601882758E-2</c:v>
              </c:pt>
              <c:pt idx="3">
                <c:v>4.3512202469503103E-2</c:v>
              </c:pt>
              <c:pt idx="4">
                <c:v>3.7013301863580345E-2</c:v>
              </c:pt>
              <c:pt idx="5">
                <c:v>3.626184799302197E-2</c:v>
              </c:pt>
            </c:numLit>
          </c:val>
          <c:extLst>
            <c:ext xmlns:c16="http://schemas.microsoft.com/office/drawing/2014/chart" uri="{C3380CC4-5D6E-409C-BE32-E72D297353CC}">
              <c16:uniqueId val="{00000001-49C3-4E73-A271-12CC595423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24585408"/>
        <c:axId val="2024584576"/>
      </c:barChart>
      <c:catAx>
        <c:axId val="202458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584576"/>
        <c:crosses val="autoZero"/>
        <c:auto val="1"/>
        <c:lblAlgn val="ctr"/>
        <c:lblOffset val="100"/>
        <c:noMultiLvlLbl val="0"/>
      </c:catAx>
      <c:valAx>
        <c:axId val="2024584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585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Day 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'VFA summary'!$AE$16</c:f>
              <c:strCache>
                <c:ptCount val="1"/>
                <c:pt idx="0">
                  <c:v>AcH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'VFA summary'!$AF$15:$AK$15</c:f>
              <c:strCache>
                <c:ptCount val="6"/>
                <c:pt idx="0">
                  <c:v>pH 10 </c:v>
                </c:pt>
                <c:pt idx="1">
                  <c:v>pH 8.5</c:v>
                </c:pt>
                <c:pt idx="2">
                  <c:v>pH 7 </c:v>
                </c:pt>
                <c:pt idx="3">
                  <c:v>pH 10 + CaCO3</c:v>
                </c:pt>
                <c:pt idx="4">
                  <c:v>pH 8.5 + CaCO3</c:v>
                </c:pt>
                <c:pt idx="5">
                  <c:v>pH 7 + CaCO3</c:v>
                </c:pt>
              </c:strCache>
            </c:strRef>
          </c:cat>
          <c:val>
            <c:numRef>
              <c:f>'VFA summary'!$AF$16:$AK$16</c:f>
              <c:numCache>
                <c:formatCode>0.00%</c:formatCode>
                <c:ptCount val="6"/>
                <c:pt idx="0">
                  <c:v>0.7313660424150078</c:v>
                </c:pt>
                <c:pt idx="1">
                  <c:v>0.67519942192324156</c:v>
                </c:pt>
                <c:pt idx="2">
                  <c:v>0.60973857750664551</c:v>
                </c:pt>
                <c:pt idx="3">
                  <c:v>0.69150338069861206</c:v>
                </c:pt>
                <c:pt idx="4">
                  <c:v>0.64472375824937722</c:v>
                </c:pt>
                <c:pt idx="5">
                  <c:v>0.5793091846884223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30-42A9-848B-D943B9D1F081}"/>
            </c:ext>
          </c:extLst>
        </c:ser>
        <c:ser>
          <c:idx val="1"/>
          <c:order val="1"/>
          <c:tx>
            <c:strRef>
              <c:f>'VFA summary'!$AE$17</c:f>
              <c:strCache>
                <c:ptCount val="1"/>
                <c:pt idx="0">
                  <c:v>PrH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'VFA summary'!$AF$15:$AK$15</c:f>
              <c:strCache>
                <c:ptCount val="6"/>
                <c:pt idx="0">
                  <c:v>pH 10 </c:v>
                </c:pt>
                <c:pt idx="1">
                  <c:v>pH 8.5</c:v>
                </c:pt>
                <c:pt idx="2">
                  <c:v>pH 7 </c:v>
                </c:pt>
                <c:pt idx="3">
                  <c:v>pH 10 + CaCO3</c:v>
                </c:pt>
                <c:pt idx="4">
                  <c:v>pH 8.5 + CaCO3</c:v>
                </c:pt>
                <c:pt idx="5">
                  <c:v>pH 7 + CaCO3</c:v>
                </c:pt>
              </c:strCache>
            </c:strRef>
          </c:cat>
          <c:val>
            <c:numRef>
              <c:f>'VFA summary'!$AF$17:$AK$17</c:f>
              <c:numCache>
                <c:formatCode>0.00%</c:formatCode>
                <c:ptCount val="6"/>
                <c:pt idx="0">
                  <c:v>8.8919281541519068E-2</c:v>
                </c:pt>
                <c:pt idx="1">
                  <c:v>0.21730727325911259</c:v>
                </c:pt>
                <c:pt idx="2">
                  <c:v>0.14779333486181206</c:v>
                </c:pt>
                <c:pt idx="3">
                  <c:v>8.8612632888351611E-2</c:v>
                </c:pt>
                <c:pt idx="4">
                  <c:v>0.21159509423734507</c:v>
                </c:pt>
                <c:pt idx="5">
                  <c:v>0.13285578121332528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30-42A9-848B-D943B9D1F081}"/>
            </c:ext>
          </c:extLst>
        </c:ser>
        <c:ser>
          <c:idx val="2"/>
          <c:order val="2"/>
          <c:tx>
            <c:strRef>
              <c:f>'VFA summary'!$AE$18</c:f>
              <c:strCache>
                <c:ptCount val="1"/>
                <c:pt idx="0">
                  <c:v>i-BuH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'VFA summary'!$AF$15:$AK$15</c:f>
              <c:strCache>
                <c:ptCount val="6"/>
                <c:pt idx="0">
                  <c:v>pH 10 </c:v>
                </c:pt>
                <c:pt idx="1">
                  <c:v>pH 8.5</c:v>
                </c:pt>
                <c:pt idx="2">
                  <c:v>pH 7 </c:v>
                </c:pt>
                <c:pt idx="3">
                  <c:v>pH 10 + CaCO3</c:v>
                </c:pt>
                <c:pt idx="4">
                  <c:v>pH 8.5 + CaCO3</c:v>
                </c:pt>
                <c:pt idx="5">
                  <c:v>pH 7 + CaCO3</c:v>
                </c:pt>
              </c:strCache>
            </c:strRef>
          </c:cat>
          <c:val>
            <c:numRef>
              <c:f>'VFA summary'!$AF$18:$AK$18</c:f>
              <c:numCache>
                <c:formatCode>0.00%</c:formatCode>
                <c:ptCount val="6"/>
                <c:pt idx="0">
                  <c:v>4.979606688838123E-2</c:v>
                </c:pt>
                <c:pt idx="1">
                  <c:v>1.1106394739877163E-2</c:v>
                </c:pt>
                <c:pt idx="2">
                  <c:v>7.8393469785447666E-3</c:v>
                </c:pt>
                <c:pt idx="3">
                  <c:v>5.2924382212678533E-2</c:v>
                </c:pt>
                <c:pt idx="4">
                  <c:v>1.3445741889474661E-2</c:v>
                </c:pt>
                <c:pt idx="5">
                  <c:v>8.7109312937856693E-3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30-42A9-848B-D943B9D1F081}"/>
            </c:ext>
          </c:extLst>
        </c:ser>
        <c:ser>
          <c:idx val="3"/>
          <c:order val="3"/>
          <c:tx>
            <c:strRef>
              <c:f>'VFA summary'!$AE$19</c:f>
              <c:strCache>
                <c:ptCount val="1"/>
                <c:pt idx="0">
                  <c:v>BuH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'VFA summary'!$AF$15:$AK$15</c:f>
              <c:strCache>
                <c:ptCount val="6"/>
                <c:pt idx="0">
                  <c:v>pH 10 </c:v>
                </c:pt>
                <c:pt idx="1">
                  <c:v>pH 8.5</c:v>
                </c:pt>
                <c:pt idx="2">
                  <c:v>pH 7 </c:v>
                </c:pt>
                <c:pt idx="3">
                  <c:v>pH 10 + CaCO3</c:v>
                </c:pt>
                <c:pt idx="4">
                  <c:v>pH 8.5 + CaCO3</c:v>
                </c:pt>
                <c:pt idx="5">
                  <c:v>pH 7 + CaCO3</c:v>
                </c:pt>
              </c:strCache>
            </c:strRef>
          </c:cat>
          <c:val>
            <c:numRef>
              <c:f>'VFA summary'!$AF$19:$AK$19</c:f>
              <c:numCache>
                <c:formatCode>0.00%</c:formatCode>
                <c:ptCount val="6"/>
                <c:pt idx="0">
                  <c:v>4.9708085505211309E-2</c:v>
                </c:pt>
                <c:pt idx="1">
                  <c:v>6.8015963648037595E-2</c:v>
                </c:pt>
                <c:pt idx="2">
                  <c:v>0.1691907177875136</c:v>
                </c:pt>
                <c:pt idx="3">
                  <c:v>5.167559348710786E-2</c:v>
                </c:pt>
                <c:pt idx="4">
                  <c:v>9.5255158896712669E-2</c:v>
                </c:pt>
                <c:pt idx="5">
                  <c:v>0.1376815493911856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930-42A9-848B-D943B9D1F081}"/>
            </c:ext>
          </c:extLst>
        </c:ser>
        <c:ser>
          <c:idx val="4"/>
          <c:order val="4"/>
          <c:tx>
            <c:strRef>
              <c:f>'VFA summary'!$AE$20</c:f>
              <c:strCache>
                <c:ptCount val="1"/>
                <c:pt idx="0">
                  <c:v>i-VaH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'VFA summary'!$AF$15:$AK$15</c:f>
              <c:strCache>
                <c:ptCount val="6"/>
                <c:pt idx="0">
                  <c:v>pH 10 </c:v>
                </c:pt>
                <c:pt idx="1">
                  <c:v>pH 8.5</c:v>
                </c:pt>
                <c:pt idx="2">
                  <c:v>pH 7 </c:v>
                </c:pt>
                <c:pt idx="3">
                  <c:v>pH 10 + CaCO3</c:v>
                </c:pt>
                <c:pt idx="4">
                  <c:v>pH 8.5 + CaCO3</c:v>
                </c:pt>
                <c:pt idx="5">
                  <c:v>pH 7 + CaCO3</c:v>
                </c:pt>
              </c:strCache>
            </c:strRef>
          </c:cat>
          <c:val>
            <c:numRef>
              <c:f>'VFA summary'!$AF$20:$AK$20</c:f>
              <c:numCache>
                <c:formatCode>0.00%</c:formatCode>
                <c:ptCount val="6"/>
                <c:pt idx="0">
                  <c:v>7.7159564111357132E-2</c:v>
                </c:pt>
                <c:pt idx="1">
                  <c:v>8.2413420860358057E-3</c:v>
                </c:pt>
                <c:pt idx="2">
                  <c:v>7.1571256446298801E-3</c:v>
                </c:pt>
                <c:pt idx="3">
                  <c:v>7.9781106863177909E-2</c:v>
                </c:pt>
                <c:pt idx="4">
                  <c:v>1.0568022096081639E-2</c:v>
                </c:pt>
                <c:pt idx="5">
                  <c:v>7.2614863937414094E-3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930-42A9-848B-D943B9D1F081}"/>
            </c:ext>
          </c:extLst>
        </c:ser>
        <c:ser>
          <c:idx val="5"/>
          <c:order val="5"/>
          <c:tx>
            <c:strRef>
              <c:f>'VFA summary'!$AE$21</c:f>
              <c:strCache>
                <c:ptCount val="1"/>
                <c:pt idx="0">
                  <c:v>VaH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'VFA summary'!$AF$15:$AK$15</c:f>
              <c:strCache>
                <c:ptCount val="6"/>
                <c:pt idx="0">
                  <c:v>pH 10 </c:v>
                </c:pt>
                <c:pt idx="1">
                  <c:v>pH 8.5</c:v>
                </c:pt>
                <c:pt idx="2">
                  <c:v>pH 7 </c:v>
                </c:pt>
                <c:pt idx="3">
                  <c:v>pH 10 + CaCO3</c:v>
                </c:pt>
                <c:pt idx="4">
                  <c:v>pH 8.5 + CaCO3</c:v>
                </c:pt>
                <c:pt idx="5">
                  <c:v>pH 7 + CaCO3</c:v>
                </c:pt>
              </c:strCache>
            </c:strRef>
          </c:cat>
          <c:val>
            <c:numRef>
              <c:f>'VFA summary'!$AF$21:$AK$21</c:f>
              <c:numCache>
                <c:formatCode>0.00%</c:formatCode>
                <c:ptCount val="6"/>
                <c:pt idx="0">
                  <c:v>0</c:v>
                </c:pt>
                <c:pt idx="1">
                  <c:v>1.8289703255581061E-2</c:v>
                </c:pt>
                <c:pt idx="2">
                  <c:v>4.7252013016840788E-2</c:v>
                </c:pt>
                <c:pt idx="3">
                  <c:v>0</c:v>
                </c:pt>
                <c:pt idx="4">
                  <c:v>1.27867065352316E-2</c:v>
                </c:pt>
                <c:pt idx="5">
                  <c:v>4.3071225351869448E-2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930-42A9-848B-D943B9D1F081}"/>
            </c:ext>
          </c:extLst>
        </c:ser>
        <c:ser>
          <c:idx val="6"/>
          <c:order val="6"/>
          <c:tx>
            <c:strRef>
              <c:f>'VFA summary'!$AE$22</c:f>
              <c:strCache>
                <c:ptCount val="1"/>
                <c:pt idx="0">
                  <c:v>HexH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'VFA summary'!$AF$15:$AK$15</c:f>
              <c:strCache>
                <c:ptCount val="6"/>
                <c:pt idx="0">
                  <c:v>pH 10 </c:v>
                </c:pt>
                <c:pt idx="1">
                  <c:v>pH 8.5</c:v>
                </c:pt>
                <c:pt idx="2">
                  <c:v>pH 7 </c:v>
                </c:pt>
                <c:pt idx="3">
                  <c:v>pH 10 + CaCO3</c:v>
                </c:pt>
                <c:pt idx="4">
                  <c:v>pH 8.5 + CaCO3</c:v>
                </c:pt>
                <c:pt idx="5">
                  <c:v>pH 7 + CaCO3</c:v>
                </c:pt>
              </c:strCache>
            </c:strRef>
          </c:cat>
          <c:val>
            <c:numRef>
              <c:f>'VFA summary'!$AF$22:$AK$22</c:f>
              <c:numCache>
                <c:formatCode>0.00%</c:formatCode>
                <c:ptCount val="6"/>
                <c:pt idx="0">
                  <c:v>2.4799013256231132E-3</c:v>
                </c:pt>
                <c:pt idx="1">
                  <c:v>1.58388017096456E-3</c:v>
                </c:pt>
                <c:pt idx="2">
                  <c:v>9.5435509519618909E-3</c:v>
                </c:pt>
                <c:pt idx="3">
                  <c:v>2.3522954264470743E-2</c:v>
                </c:pt>
                <c:pt idx="4">
                  <c:v>1.0099822893339447E-2</c:v>
                </c:pt>
                <c:pt idx="5">
                  <c:v>7.5113783000492748E-2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930-42A9-848B-D943B9D1F081}"/>
            </c:ext>
          </c:extLst>
        </c:ser>
        <c:ser>
          <c:idx val="7"/>
          <c:order val="7"/>
          <c:tx>
            <c:strRef>
              <c:f>'VFA summary'!$AE$23</c:f>
              <c:strCache>
                <c:ptCount val="1"/>
                <c:pt idx="0">
                  <c:v>HepH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'VFA summary'!$AF$15:$AK$15</c:f>
              <c:strCache>
                <c:ptCount val="6"/>
                <c:pt idx="0">
                  <c:v>pH 10 </c:v>
                </c:pt>
                <c:pt idx="1">
                  <c:v>pH 8.5</c:v>
                </c:pt>
                <c:pt idx="2">
                  <c:v>pH 7 </c:v>
                </c:pt>
                <c:pt idx="3">
                  <c:v>pH 10 + CaCO3</c:v>
                </c:pt>
                <c:pt idx="4">
                  <c:v>pH 8.5 + CaCO3</c:v>
                </c:pt>
                <c:pt idx="5">
                  <c:v>pH 7 + CaCO3</c:v>
                </c:pt>
              </c:strCache>
            </c:strRef>
          </c:cat>
          <c:val>
            <c:numRef>
              <c:f>'VFA summary'!$AF$23:$AK$23</c:f>
              <c:numCache>
                <c:formatCode>0.00%</c:formatCode>
                <c:ptCount val="6"/>
                <c:pt idx="0">
                  <c:v>5.7105821290037435E-4</c:v>
                </c:pt>
                <c:pt idx="1">
                  <c:v>2.5602091714961014E-4</c:v>
                </c:pt>
                <c:pt idx="2">
                  <c:v>1.4853332520515269E-3</c:v>
                </c:pt>
                <c:pt idx="3">
                  <c:v>1.1979949585601217E-2</c:v>
                </c:pt>
                <c:pt idx="4">
                  <c:v>1.5256952024379773E-3</c:v>
                </c:pt>
                <c:pt idx="5">
                  <c:v>1.5996058667177713E-2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930-42A9-848B-D943B9D1F0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095765023"/>
        <c:axId val="1144920111"/>
      </c:barChart>
      <c:catAx>
        <c:axId val="1095765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4920111"/>
        <c:crosses val="autoZero"/>
        <c:auto val="1"/>
        <c:lblAlgn val="ctr"/>
        <c:lblOffset val="100"/>
        <c:noMultiLvlLbl val="0"/>
      </c:catAx>
      <c:valAx>
        <c:axId val="114492011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%</a:t>
                </a:r>
                <a:r>
                  <a:rPr lang="en-GB" baseline="0"/>
                  <a:t> (w/w)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5765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VFA profile on day 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'VFA summary'!$AE$4</c:f>
              <c:strCache>
                <c:ptCount val="1"/>
                <c:pt idx="0">
                  <c:v>AcH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'VFA summary'!$AF$3:$AK$3</c:f>
              <c:strCache>
                <c:ptCount val="6"/>
                <c:pt idx="0">
                  <c:v>pH 10 </c:v>
                </c:pt>
                <c:pt idx="1">
                  <c:v>pH 8.5</c:v>
                </c:pt>
                <c:pt idx="2">
                  <c:v>pH 7 </c:v>
                </c:pt>
                <c:pt idx="3">
                  <c:v>pH 10 + CaCO3</c:v>
                </c:pt>
                <c:pt idx="4">
                  <c:v>pH 8.5 + CaCO3</c:v>
                </c:pt>
                <c:pt idx="5">
                  <c:v>pH 7 + CaCO3</c:v>
                </c:pt>
              </c:strCache>
            </c:strRef>
          </c:cat>
          <c:val>
            <c:numRef>
              <c:f>'VFA summary'!$AF$4:$AK$4</c:f>
              <c:numCache>
                <c:formatCode>0.00</c:formatCode>
                <c:ptCount val="6"/>
                <c:pt idx="0">
                  <c:v>2.877308405077545</c:v>
                </c:pt>
                <c:pt idx="1">
                  <c:v>7.6753784646613425</c:v>
                </c:pt>
                <c:pt idx="2">
                  <c:v>6.0206137653474547</c:v>
                </c:pt>
                <c:pt idx="3">
                  <c:v>2.586310522506432</c:v>
                </c:pt>
                <c:pt idx="4">
                  <c:v>6.764323739064702</c:v>
                </c:pt>
                <c:pt idx="5">
                  <c:v>5.9794634662175934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23-46BC-9A20-5B45BF7C9612}"/>
            </c:ext>
          </c:extLst>
        </c:ser>
        <c:ser>
          <c:idx val="1"/>
          <c:order val="1"/>
          <c:tx>
            <c:strRef>
              <c:f>'VFA summary'!$AE$5</c:f>
              <c:strCache>
                <c:ptCount val="1"/>
                <c:pt idx="0">
                  <c:v>PrH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'VFA summary'!$AF$3:$AK$3</c:f>
              <c:strCache>
                <c:ptCount val="6"/>
                <c:pt idx="0">
                  <c:v>pH 10 </c:v>
                </c:pt>
                <c:pt idx="1">
                  <c:v>pH 8.5</c:v>
                </c:pt>
                <c:pt idx="2">
                  <c:v>pH 7 </c:v>
                </c:pt>
                <c:pt idx="3">
                  <c:v>pH 10 + CaCO3</c:v>
                </c:pt>
                <c:pt idx="4">
                  <c:v>pH 8.5 + CaCO3</c:v>
                </c:pt>
                <c:pt idx="5">
                  <c:v>pH 7 + CaCO3</c:v>
                </c:pt>
              </c:strCache>
            </c:strRef>
          </c:cat>
          <c:val>
            <c:numRef>
              <c:f>'VFA summary'!$AF$5:$AK$5</c:f>
              <c:numCache>
                <c:formatCode>0.00</c:formatCode>
                <c:ptCount val="6"/>
                <c:pt idx="0">
                  <c:v>0.35181291912266455</c:v>
                </c:pt>
                <c:pt idx="1">
                  <c:v>2.4667592666792086</c:v>
                </c:pt>
                <c:pt idx="2">
                  <c:v>1.4590650747235667</c:v>
                </c:pt>
                <c:pt idx="3">
                  <c:v>0.33089297475045176</c:v>
                </c:pt>
                <c:pt idx="4">
                  <c:v>2.2184735651096412</c:v>
                </c:pt>
                <c:pt idx="5">
                  <c:v>1.3724664329261409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23-46BC-9A20-5B45BF7C9612}"/>
            </c:ext>
          </c:extLst>
        </c:ser>
        <c:ser>
          <c:idx val="2"/>
          <c:order val="2"/>
          <c:tx>
            <c:strRef>
              <c:f>'VFA summary'!$AE$6</c:f>
              <c:strCache>
                <c:ptCount val="1"/>
                <c:pt idx="0">
                  <c:v>i-BuH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'VFA summary'!$AF$3:$AK$3</c:f>
              <c:strCache>
                <c:ptCount val="6"/>
                <c:pt idx="0">
                  <c:v>pH 10 </c:v>
                </c:pt>
                <c:pt idx="1">
                  <c:v>pH 8.5</c:v>
                </c:pt>
                <c:pt idx="2">
                  <c:v>pH 7 </c:v>
                </c:pt>
                <c:pt idx="3">
                  <c:v>pH 10 + CaCO3</c:v>
                </c:pt>
                <c:pt idx="4">
                  <c:v>pH 8.5 + CaCO3</c:v>
                </c:pt>
                <c:pt idx="5">
                  <c:v>pH 7 + CaCO3</c:v>
                </c:pt>
              </c:strCache>
            </c:strRef>
          </c:cat>
          <c:val>
            <c:numRef>
              <c:f>'VFA summary'!$AF$6:$AK$6</c:f>
              <c:numCache>
                <c:formatCode>0.00</c:formatCode>
                <c:ptCount val="6"/>
                <c:pt idx="0">
                  <c:v>0.19614080034780867</c:v>
                </c:pt>
                <c:pt idx="1">
                  <c:v>0.12602407030518431</c:v>
                </c:pt>
                <c:pt idx="2">
                  <c:v>7.7570041793196071E-2</c:v>
                </c:pt>
                <c:pt idx="3">
                  <c:v>0.19773644412892549</c:v>
                </c:pt>
                <c:pt idx="4">
                  <c:v>0.14098492679151747</c:v>
                </c:pt>
                <c:pt idx="5">
                  <c:v>9.0042619890222081E-2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23-46BC-9A20-5B45BF7C9612}"/>
            </c:ext>
          </c:extLst>
        </c:ser>
        <c:ser>
          <c:idx val="3"/>
          <c:order val="3"/>
          <c:tx>
            <c:strRef>
              <c:f>'VFA summary'!$AE$7</c:f>
              <c:strCache>
                <c:ptCount val="1"/>
                <c:pt idx="0">
                  <c:v>BuH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'VFA summary'!$AF$3:$AK$3</c:f>
              <c:strCache>
                <c:ptCount val="6"/>
                <c:pt idx="0">
                  <c:v>pH 10 </c:v>
                </c:pt>
                <c:pt idx="1">
                  <c:v>pH 8.5</c:v>
                </c:pt>
                <c:pt idx="2">
                  <c:v>pH 7 </c:v>
                </c:pt>
                <c:pt idx="3">
                  <c:v>pH 10 + CaCO3</c:v>
                </c:pt>
                <c:pt idx="4">
                  <c:v>pH 8.5 + CaCO3</c:v>
                </c:pt>
                <c:pt idx="5">
                  <c:v>pH 7 + CaCO3</c:v>
                </c:pt>
              </c:strCache>
            </c:strRef>
          </c:cat>
          <c:val>
            <c:numRef>
              <c:f>'VFA summary'!$AF$7:$AK$7</c:f>
              <c:numCache>
                <c:formatCode>0.00</c:formatCode>
                <c:ptCount val="6"/>
                <c:pt idx="0">
                  <c:v>0.19554260200297335</c:v>
                </c:pt>
                <c:pt idx="1">
                  <c:v>0.77935184842799154</c:v>
                </c:pt>
                <c:pt idx="2">
                  <c:v>1.6685602582000221</c:v>
                </c:pt>
                <c:pt idx="3">
                  <c:v>0.1932291816362593</c:v>
                </c:pt>
                <c:pt idx="4">
                  <c:v>1.001270110823747</c:v>
                </c:pt>
                <c:pt idx="5">
                  <c:v>1.4208083874969279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F23-46BC-9A20-5B45BF7C9612}"/>
            </c:ext>
          </c:extLst>
        </c:ser>
        <c:ser>
          <c:idx val="4"/>
          <c:order val="4"/>
          <c:tx>
            <c:strRef>
              <c:f>'VFA summary'!$AE$8</c:f>
              <c:strCache>
                <c:ptCount val="1"/>
                <c:pt idx="0">
                  <c:v>i-VaH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'VFA summary'!$AF$3:$AK$3</c:f>
              <c:strCache>
                <c:ptCount val="6"/>
                <c:pt idx="0">
                  <c:v>pH 10 </c:v>
                </c:pt>
                <c:pt idx="1">
                  <c:v>pH 8.5</c:v>
                </c:pt>
                <c:pt idx="2">
                  <c:v>pH 7 </c:v>
                </c:pt>
                <c:pt idx="3">
                  <c:v>pH 10 + CaCO3</c:v>
                </c:pt>
                <c:pt idx="4">
                  <c:v>pH 8.5 + CaCO3</c:v>
                </c:pt>
                <c:pt idx="5">
                  <c:v>pH 7 + CaCO3</c:v>
                </c:pt>
              </c:strCache>
            </c:strRef>
          </c:cat>
          <c:val>
            <c:numRef>
              <c:f>'VFA summary'!$AF$8:$AK$8</c:f>
              <c:numCache>
                <c:formatCode>0.00</c:formatCode>
                <c:ptCount val="6"/>
                <c:pt idx="0">
                  <c:v>0.30405819255197286</c:v>
                </c:pt>
                <c:pt idx="1">
                  <c:v>9.3041605886823253E-2</c:v>
                </c:pt>
                <c:pt idx="2">
                  <c:v>7.0951007647988368E-2</c:v>
                </c:pt>
                <c:pt idx="3">
                  <c:v>0.2980166016889565</c:v>
                </c:pt>
                <c:pt idx="4">
                  <c:v>0.1108573327978572</c:v>
                </c:pt>
                <c:pt idx="5">
                  <c:v>7.5013630741518206E-2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F23-46BC-9A20-5B45BF7C9612}"/>
            </c:ext>
          </c:extLst>
        </c:ser>
        <c:ser>
          <c:idx val="5"/>
          <c:order val="5"/>
          <c:tx>
            <c:strRef>
              <c:f>'VFA summary'!$AE$9</c:f>
              <c:strCache>
                <c:ptCount val="1"/>
                <c:pt idx="0">
                  <c:v>VaH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'VFA summary'!$AF$3:$AK$3</c:f>
              <c:strCache>
                <c:ptCount val="6"/>
                <c:pt idx="0">
                  <c:v>pH 10 </c:v>
                </c:pt>
                <c:pt idx="1">
                  <c:v>pH 8.5</c:v>
                </c:pt>
                <c:pt idx="2">
                  <c:v>pH 7 </c:v>
                </c:pt>
                <c:pt idx="3">
                  <c:v>pH 10 + CaCO3</c:v>
                </c:pt>
                <c:pt idx="4">
                  <c:v>pH 8.5 + CaCO3</c:v>
                </c:pt>
                <c:pt idx="5">
                  <c:v>pH 7 + CaCO3</c:v>
                </c:pt>
              </c:strCache>
            </c:strRef>
          </c:cat>
          <c:val>
            <c:numRef>
              <c:f>'VFA summary'!$AF$9:$AK$9</c:f>
              <c:numCache>
                <c:formatCode>0.00</c:formatCode>
                <c:ptCount val="6"/>
                <c:pt idx="0">
                  <c:v>0</c:v>
                </c:pt>
                <c:pt idx="1">
                  <c:v>0.20595085639911598</c:v>
                </c:pt>
                <c:pt idx="2">
                  <c:v>0.46629992378204133</c:v>
                </c:pt>
                <c:pt idx="3">
                  <c:v>0</c:v>
                </c:pt>
                <c:pt idx="4">
                  <c:v>0.13415598933089062</c:v>
                </c:pt>
                <c:pt idx="5">
                  <c:v>0.44464344759915442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F23-46BC-9A20-5B45BF7C9612}"/>
            </c:ext>
          </c:extLst>
        </c:ser>
        <c:ser>
          <c:idx val="6"/>
          <c:order val="6"/>
          <c:tx>
            <c:strRef>
              <c:f>'VFA summary'!$AE$10</c:f>
              <c:strCache>
                <c:ptCount val="1"/>
                <c:pt idx="0">
                  <c:v>HexH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'VFA summary'!$AF$3:$AK$3</c:f>
              <c:strCache>
                <c:ptCount val="6"/>
                <c:pt idx="0">
                  <c:v>pH 10 </c:v>
                </c:pt>
                <c:pt idx="1">
                  <c:v>pH 8.5</c:v>
                </c:pt>
                <c:pt idx="2">
                  <c:v>pH 7 </c:v>
                </c:pt>
                <c:pt idx="3">
                  <c:v>pH 10 + CaCO3</c:v>
                </c:pt>
                <c:pt idx="4">
                  <c:v>pH 8.5 + CaCO3</c:v>
                </c:pt>
                <c:pt idx="5">
                  <c:v>pH 7 + CaCO3</c:v>
                </c:pt>
              </c:strCache>
            </c:strRef>
          </c:cat>
          <c:val>
            <c:numRef>
              <c:f>'VFA summary'!$AF$10:$AK$10</c:f>
              <c:numCache>
                <c:formatCode>0.00</c:formatCode>
                <c:ptCount val="6"/>
                <c:pt idx="0">
                  <c:v>9.7272452940309929E-3</c:v>
                </c:pt>
                <c:pt idx="1">
                  <c:v>1.8041309274484531E-2</c:v>
                </c:pt>
                <c:pt idx="2">
                  <c:v>9.4121993065988313E-2</c:v>
                </c:pt>
                <c:pt idx="3">
                  <c:v>8.7705109052528638E-2</c:v>
                </c:pt>
                <c:pt idx="4">
                  <c:v>0.1058308721710477</c:v>
                </c:pt>
                <c:pt idx="5">
                  <c:v>0.77464600200057188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F23-46BC-9A20-5B45BF7C9612}"/>
            </c:ext>
          </c:extLst>
        </c:ser>
        <c:ser>
          <c:idx val="7"/>
          <c:order val="7"/>
          <c:tx>
            <c:strRef>
              <c:f>'VFA summary'!$AE$11</c:f>
              <c:strCache>
                <c:ptCount val="1"/>
                <c:pt idx="0">
                  <c:v>HepH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'VFA summary'!$AF$3:$AK$3</c:f>
              <c:strCache>
                <c:ptCount val="6"/>
                <c:pt idx="0">
                  <c:v>pH 10 </c:v>
                </c:pt>
                <c:pt idx="1">
                  <c:v>pH 8.5</c:v>
                </c:pt>
                <c:pt idx="2">
                  <c:v>pH 7 </c:v>
                </c:pt>
                <c:pt idx="3">
                  <c:v>pH 10 + CaCO3</c:v>
                </c:pt>
                <c:pt idx="4">
                  <c:v>pH 8.5 + CaCO3</c:v>
                </c:pt>
                <c:pt idx="5">
                  <c:v>pH 7 + CaCO3</c:v>
                </c:pt>
              </c:strCache>
            </c:strRef>
          </c:cat>
          <c:val>
            <c:numRef>
              <c:f>'VFA summary'!$AF$11:$AK$11</c:f>
              <c:numCache>
                <c:formatCode>0.00</c:formatCode>
                <c:ptCount val="6"/>
                <c:pt idx="0">
                  <c:v>2.1508234630928406E-3</c:v>
                </c:pt>
                <c:pt idx="1">
                  <c:v>2.8811988913421483E-3</c:v>
                </c:pt>
                <c:pt idx="2">
                  <c:v>1.4661940771401333E-2</c:v>
                </c:pt>
                <c:pt idx="3">
                  <c:v>4.4531903110462623E-2</c:v>
                </c:pt>
                <c:pt idx="4">
                  <c:v>1.5773058700566535E-2</c:v>
                </c:pt>
                <c:pt idx="5">
                  <c:v>0.16519757481400804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F23-46BC-9A20-5B45BF7C96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0478848"/>
        <c:axId val="1886170736"/>
      </c:barChart>
      <c:catAx>
        <c:axId val="470478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6170736"/>
        <c:crosses val="autoZero"/>
        <c:auto val="1"/>
        <c:lblAlgn val="ctr"/>
        <c:lblOffset val="100"/>
        <c:noMultiLvlLbl val="0"/>
      </c:catAx>
      <c:valAx>
        <c:axId val="188617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Concentration</a:t>
                </a:r>
                <a:r>
                  <a:rPr lang="en-GB" baseline="0"/>
                  <a:t> (g/L)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478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361776</xdr:colOff>
      <xdr:row>46</xdr:row>
      <xdr:rowOff>0</xdr:rowOff>
    </xdr:from>
    <xdr:to>
      <xdr:col>16</xdr:col>
      <xdr:colOff>684068</xdr:colOff>
      <xdr:row>66</xdr:row>
      <xdr:rowOff>164522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9EE5BED-FBBC-4647-A771-F2BFBD0ACE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576348</xdr:colOff>
      <xdr:row>31</xdr:row>
      <xdr:rowOff>60614</xdr:rowOff>
    </xdr:from>
    <xdr:to>
      <xdr:col>16</xdr:col>
      <xdr:colOff>664746</xdr:colOff>
      <xdr:row>44</xdr:row>
      <xdr:rowOff>63557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1E5CDDC-4A26-4577-97D0-823CAB9C40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60614</xdr:colOff>
      <xdr:row>31</xdr:row>
      <xdr:rowOff>121227</xdr:rowOff>
    </xdr:from>
    <xdr:to>
      <xdr:col>23</xdr:col>
      <xdr:colOff>228849</xdr:colOff>
      <xdr:row>44</xdr:row>
      <xdr:rowOff>120360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1513E0-19AE-4C9D-ABA2-C20BFC2423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260203</xdr:colOff>
      <xdr:row>18</xdr:row>
      <xdr:rowOff>93127</xdr:rowOff>
    </xdr:from>
    <xdr:to>
      <xdr:col>14</xdr:col>
      <xdr:colOff>988721</xdr:colOff>
      <xdr:row>35</xdr:row>
      <xdr:rowOff>120015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7E7864-7A22-4A91-9642-1C3673BE6C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1114902</xdr:colOff>
      <xdr:row>18</xdr:row>
      <xdr:rowOff>113347</xdr:rowOff>
    </xdr:from>
    <xdr:to>
      <xdr:col>22</xdr:col>
      <xdr:colOff>167021</xdr:colOff>
      <xdr:row>35</xdr:row>
      <xdr:rowOff>101441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7CC6272-F7AC-4647-81F4-25BE889773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590550</xdr:colOff>
      <xdr:row>5</xdr:row>
      <xdr:rowOff>57150</xdr:rowOff>
    </xdr:from>
    <xdr:to>
      <xdr:col>13</xdr:col>
      <xdr:colOff>171450</xdr:colOff>
      <xdr:row>23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336721-E995-4847-B7A4-1A241A3CCE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760266</xdr:colOff>
      <xdr:row>18</xdr:row>
      <xdr:rowOff>142657</xdr:rowOff>
    </xdr:from>
    <xdr:to>
      <xdr:col>15</xdr:col>
      <xdr:colOff>503</xdr:colOff>
      <xdr:row>35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BF390C-46E2-4A8C-92FE-13ED1C3763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241936</xdr:colOff>
      <xdr:row>18</xdr:row>
      <xdr:rowOff>21907</xdr:rowOff>
    </xdr:from>
    <xdr:to>
      <xdr:col>23</xdr:col>
      <xdr:colOff>180833</xdr:colOff>
      <xdr:row>35</xdr:row>
      <xdr:rowOff>4286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FE37562-48C3-412C-9BB1-CE968239FE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117</xdr:row>
      <xdr:rowOff>91280</xdr:rowOff>
    </xdr:from>
    <xdr:to>
      <xdr:col>5</xdr:col>
      <xdr:colOff>216217</xdr:colOff>
      <xdr:row>132</xdr:row>
      <xdr:rowOff>85724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4CD5BCC-FAC8-46CF-A6A7-C07B107F18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405447</xdr:colOff>
      <xdr:row>117</xdr:row>
      <xdr:rowOff>47943</xdr:rowOff>
    </xdr:from>
    <xdr:to>
      <xdr:col>11</xdr:col>
      <xdr:colOff>413385</xdr:colOff>
      <xdr:row>132</xdr:row>
      <xdr:rowOff>68264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671E6F4-4C51-4753-A2D1-013585213F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608648</xdr:colOff>
      <xdr:row>117</xdr:row>
      <xdr:rowOff>86043</xdr:rowOff>
    </xdr:from>
    <xdr:to>
      <xdr:col>17</xdr:col>
      <xdr:colOff>327025</xdr:colOff>
      <xdr:row>132</xdr:row>
      <xdr:rowOff>110173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A8EE7CC-DE71-4660-9097-AB70FDA51D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296660</xdr:colOff>
      <xdr:row>16</xdr:row>
      <xdr:rowOff>169545</xdr:rowOff>
    </xdr:from>
    <xdr:to>
      <xdr:col>13</xdr:col>
      <xdr:colOff>25284</xdr:colOff>
      <xdr:row>32</xdr:row>
      <xdr:rowOff>5023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8A90C0B-C56B-4C1C-8C0A-E50CADE93E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306705</xdr:colOff>
      <xdr:row>26</xdr:row>
      <xdr:rowOff>167640</xdr:rowOff>
    </xdr:from>
    <xdr:to>
      <xdr:col>27</xdr:col>
      <xdr:colOff>1905</xdr:colOff>
      <xdr:row>38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886E7A4-EAFA-41FD-B803-DADD673C9B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442912</xdr:colOff>
      <xdr:row>26</xdr:row>
      <xdr:rowOff>166687</xdr:rowOff>
    </xdr:from>
    <xdr:to>
      <xdr:col>19</xdr:col>
      <xdr:colOff>138112</xdr:colOff>
      <xdr:row>40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90E0BE-FBBC-3892-9C7A-637717A42B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0</xdr:row>
      <xdr:rowOff>68580</xdr:rowOff>
    </xdr:from>
    <xdr:to>
      <xdr:col>21</xdr:col>
      <xdr:colOff>571500</xdr:colOff>
      <xdr:row>12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940B92-E970-42FB-B809-7F5820900E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0</xdr:row>
      <xdr:rowOff>68580</xdr:rowOff>
    </xdr:from>
    <xdr:to>
      <xdr:col>21</xdr:col>
      <xdr:colOff>571500</xdr:colOff>
      <xdr:row>12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B4F1CA-2F08-4214-9F60-A6CFD88983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0</xdr:row>
      <xdr:rowOff>68580</xdr:rowOff>
    </xdr:from>
    <xdr:to>
      <xdr:col>21</xdr:col>
      <xdr:colOff>571500</xdr:colOff>
      <xdr:row>12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A304CC2-9FF1-426D-920D-7C99DA10BD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0</xdr:row>
      <xdr:rowOff>68580</xdr:rowOff>
    </xdr:from>
    <xdr:to>
      <xdr:col>21</xdr:col>
      <xdr:colOff>571500</xdr:colOff>
      <xdr:row>12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77D3911-96A3-437C-A402-D6EACA60B2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590550</xdr:colOff>
      <xdr:row>5</xdr:row>
      <xdr:rowOff>57150</xdr:rowOff>
    </xdr:from>
    <xdr:to>
      <xdr:col>13</xdr:col>
      <xdr:colOff>171450</xdr:colOff>
      <xdr:row>23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0FFAA2-2233-4378-8172-B1492C252D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personal/mrs1u16_soton_ac_uk/Documents/PhD/01.%20PROJECT/02.%20Experiments/Exp%2011-%20Fed%20Batch%20experiment/exp%2011%20fed%20batch%20experimeen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tup"/>
      <sheetName val="pH"/>
      <sheetName val="TS VS reactors"/>
      <sheetName val="TS VS ORS"/>
      <sheetName val="mass balance"/>
      <sheetName val="Gas"/>
      <sheetName val="VFA analyses"/>
      <sheetName val="VFA summary"/>
      <sheetName val="TOC std day 36"/>
      <sheetName val="TOC day 3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1">
          <cell r="B21">
            <v>5.038236038394416</v>
          </cell>
          <cell r="C21">
            <v>-86.633813263525326</v>
          </cell>
          <cell r="E21">
            <v>4.875849894476473</v>
          </cell>
          <cell r="F21">
            <v>-39.038021657382842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59"/>
  <sheetViews>
    <sheetView topLeftCell="A30" workbookViewId="0">
      <selection activeCell="J43" sqref="J43"/>
    </sheetView>
  </sheetViews>
  <sheetFormatPr defaultRowHeight="15" x14ac:dyDescent="0.25"/>
  <cols>
    <col min="1" max="1" width="25.140625" customWidth="1"/>
    <col min="2" max="2" width="11" customWidth="1"/>
    <col min="3" max="3" width="12.28515625" customWidth="1"/>
    <col min="4" max="4" width="19.7109375" customWidth="1"/>
    <col min="6" max="6" width="14.7109375" customWidth="1"/>
    <col min="7" max="7" width="11.42578125" customWidth="1"/>
    <col min="8" max="8" width="10.5703125" bestFit="1" customWidth="1"/>
    <col min="9" max="9" width="10.28515625" customWidth="1"/>
    <col min="10" max="10" width="10.5703125" customWidth="1"/>
    <col min="11" max="11" width="15.42578125" customWidth="1"/>
    <col min="12" max="12" width="13.28515625" customWidth="1"/>
    <col min="17" max="17" width="9.28515625" customWidth="1"/>
    <col min="22" max="22" width="14.7109375" customWidth="1"/>
    <col min="23" max="23" width="12" bestFit="1" customWidth="1"/>
  </cols>
  <sheetData>
    <row r="2" spans="1:14" ht="20.25" thickBot="1" x14ac:dyDescent="0.35">
      <c r="A2" s="131" t="s">
        <v>0</v>
      </c>
      <c r="B2" s="131"/>
      <c r="C2" s="131"/>
    </row>
    <row r="3" spans="1:14" ht="15.75" thickTop="1" x14ac:dyDescent="0.25"/>
    <row r="4" spans="1:14" x14ac:dyDescent="0.25">
      <c r="C4" s="63" t="s">
        <v>1</v>
      </c>
      <c r="D4" s="63" t="s">
        <v>2</v>
      </c>
      <c r="F4" s="63" t="s">
        <v>3</v>
      </c>
      <c r="G4" s="90">
        <f>G9/(10^(G5-G10)+1)-G9/(10^(G6-G10)+1)</f>
        <v>7.841693317159916E-2</v>
      </c>
      <c r="H4" s="90">
        <f>H9/(10^(H5-H10)+1)-H9/(10^(H6-H10)+1)</f>
        <v>7.8377775692865262E-2</v>
      </c>
      <c r="I4" s="90">
        <f>I9/(10^(I5-I10)+1)-I9/(10^(I6-I10)+1)</f>
        <v>6.638761555623432E-2</v>
      </c>
      <c r="K4" s="63" t="s">
        <v>4</v>
      </c>
      <c r="L4" s="90">
        <f>L5*100</f>
        <v>10.135071187159111</v>
      </c>
      <c r="M4" s="90">
        <f t="shared" ref="M4" si="0">M5*100</f>
        <v>10.114953150296673</v>
      </c>
      <c r="N4" s="90">
        <f>N5*100</f>
        <v>1.3865563034109125</v>
      </c>
    </row>
    <row r="5" spans="1:14" x14ac:dyDescent="0.25">
      <c r="C5" s="87">
        <v>0.05</v>
      </c>
      <c r="D5" s="87">
        <f>C5*0.1*40</f>
        <v>0.20000000000000004</v>
      </c>
      <c r="F5" s="63" t="s">
        <v>5</v>
      </c>
      <c r="G5" s="87">
        <v>5</v>
      </c>
      <c r="H5" s="87">
        <v>5</v>
      </c>
      <c r="I5" s="87">
        <v>5</v>
      </c>
      <c r="K5" s="63" t="s">
        <v>6</v>
      </c>
      <c r="L5" s="90">
        <f>(10^(L6-L10))*L9/(1+10^(L6-L10))/2</f>
        <v>0.10135071187159111</v>
      </c>
      <c r="M5" s="90">
        <f>(10^(M6-M10))*M9/(1+10^(M6-M10))/2</f>
        <v>0.10114953150296672</v>
      </c>
      <c r="N5" s="90">
        <f>(10^(N6-N10))*N9/(1+10^(N6-N10))/2</f>
        <v>1.3865563034109126E-2</v>
      </c>
    </row>
    <row r="6" spans="1:14" x14ac:dyDescent="0.25">
      <c r="C6" s="87">
        <v>4</v>
      </c>
      <c r="D6" s="87">
        <f>C6*0.1*40</f>
        <v>16</v>
      </c>
      <c r="F6" s="63" t="s">
        <v>7</v>
      </c>
      <c r="G6" s="87">
        <v>10</v>
      </c>
      <c r="H6" s="87">
        <v>8.5</v>
      </c>
      <c r="I6" s="87">
        <v>6</v>
      </c>
      <c r="K6" s="63" t="s">
        <v>8</v>
      </c>
      <c r="L6" s="87">
        <v>10</v>
      </c>
      <c r="M6" s="87">
        <v>8.5</v>
      </c>
      <c r="N6" s="87">
        <v>6</v>
      </c>
    </row>
    <row r="7" spans="1:14" x14ac:dyDescent="0.25">
      <c r="F7" s="63" t="s">
        <v>9</v>
      </c>
      <c r="G7" s="87">
        <v>15</v>
      </c>
      <c r="H7" s="87">
        <v>15</v>
      </c>
      <c r="I7" s="87">
        <v>15</v>
      </c>
      <c r="K7" s="63" t="s">
        <v>9</v>
      </c>
      <c r="L7" s="87">
        <v>15</v>
      </c>
      <c r="M7" s="87">
        <v>15</v>
      </c>
      <c r="N7" s="87">
        <v>15</v>
      </c>
    </row>
    <row r="8" spans="1:14" x14ac:dyDescent="0.25">
      <c r="A8" s="63" t="s">
        <v>10</v>
      </c>
      <c r="B8" s="63" t="s">
        <v>8</v>
      </c>
      <c r="C8" s="63" t="s">
        <v>11</v>
      </c>
      <c r="D8" s="63" t="s">
        <v>12</v>
      </c>
      <c r="F8" s="63" t="s">
        <v>13</v>
      </c>
      <c r="G8" s="87">
        <v>74</v>
      </c>
      <c r="H8" s="87">
        <v>74</v>
      </c>
      <c r="I8" s="87">
        <v>74</v>
      </c>
      <c r="K8" s="63" t="s">
        <v>13</v>
      </c>
      <c r="L8" s="87">
        <v>74</v>
      </c>
      <c r="M8" s="87">
        <v>74</v>
      </c>
      <c r="N8" s="87">
        <v>74</v>
      </c>
    </row>
    <row r="9" spans="1:14" x14ac:dyDescent="0.25">
      <c r="A9" s="87" t="s">
        <v>14</v>
      </c>
      <c r="B9" s="87">
        <v>10.5</v>
      </c>
      <c r="C9" s="91">
        <f>10^(B9-14)</f>
        <v>3.1622776601683783E-4</v>
      </c>
      <c r="D9" s="90">
        <f>C9*1/0.05*1000</f>
        <v>6.3245553203367564</v>
      </c>
      <c r="F9" s="63" t="s">
        <v>15</v>
      </c>
      <c r="G9" s="90">
        <f>G7/G8</f>
        <v>0.20270270270270271</v>
      </c>
      <c r="H9" s="90">
        <f t="shared" ref="H9:I9" si="1">H7/H8</f>
        <v>0.20270270270270271</v>
      </c>
      <c r="I9" s="90">
        <f t="shared" si="1"/>
        <v>0.20270270270270271</v>
      </c>
      <c r="K9" s="63" t="s">
        <v>15</v>
      </c>
      <c r="L9" s="90">
        <f>L7/L8</f>
        <v>0.20270270270270271</v>
      </c>
      <c r="M9" s="90">
        <f t="shared" ref="M9:N9" si="2">M7/M8</f>
        <v>0.20270270270270271</v>
      </c>
      <c r="N9" s="90">
        <f t="shared" si="2"/>
        <v>0.20270270270270271</v>
      </c>
    </row>
    <row r="10" spans="1:14" x14ac:dyDescent="0.25">
      <c r="A10" s="87" t="s">
        <v>16</v>
      </c>
      <c r="B10" s="87">
        <v>9</v>
      </c>
      <c r="C10" s="92">
        <f>10^(B10-14)</f>
        <v>1.0000000000000001E-5</v>
      </c>
      <c r="D10" s="87">
        <f>C10*1/0.05*1000</f>
        <v>0.2</v>
      </c>
      <c r="F10" s="63" t="s">
        <v>17</v>
      </c>
      <c r="G10" s="87">
        <v>4.8</v>
      </c>
      <c r="H10" s="87">
        <v>4.8</v>
      </c>
      <c r="I10" s="87">
        <v>4.8</v>
      </c>
      <c r="K10" s="63" t="s">
        <v>17</v>
      </c>
      <c r="L10" s="87">
        <v>4.8</v>
      </c>
      <c r="M10" s="87">
        <v>5.8</v>
      </c>
      <c r="N10" s="87">
        <v>6.8</v>
      </c>
    </row>
    <row r="11" spans="1:14" x14ac:dyDescent="0.25">
      <c r="C11" s="1"/>
    </row>
    <row r="13" spans="1:14" x14ac:dyDescent="0.25">
      <c r="A13" s="132" t="s">
        <v>18</v>
      </c>
      <c r="B13" s="132"/>
      <c r="D13" s="63" t="s">
        <v>216</v>
      </c>
      <c r="E13" s="87"/>
      <c r="F13" s="93">
        <v>0.02</v>
      </c>
      <c r="K13" s="2"/>
    </row>
    <row r="14" spans="1:14" x14ac:dyDescent="0.25">
      <c r="A14" s="96" t="s">
        <v>19</v>
      </c>
      <c r="B14" s="97">
        <v>0.05</v>
      </c>
      <c r="D14" s="63" t="s">
        <v>217</v>
      </c>
      <c r="E14" s="63"/>
      <c r="F14" s="94">
        <v>0.81</v>
      </c>
      <c r="G14" s="2"/>
      <c r="K14" s="2"/>
    </row>
    <row r="15" spans="1:14" x14ac:dyDescent="0.25">
      <c r="A15" s="96" t="s">
        <v>20</v>
      </c>
      <c r="B15" s="98">
        <f>23.3%</f>
        <v>0.23300000000000001</v>
      </c>
      <c r="C15" s="2"/>
      <c r="D15" s="63" t="s">
        <v>214</v>
      </c>
      <c r="E15" s="63"/>
      <c r="F15" s="63">
        <v>50</v>
      </c>
      <c r="G15" s="2"/>
      <c r="K15" s="2"/>
    </row>
    <row r="16" spans="1:14" x14ac:dyDescent="0.25">
      <c r="A16" s="96" t="s">
        <v>22</v>
      </c>
      <c r="B16" s="99">
        <v>0.67</v>
      </c>
      <c r="D16" s="63" t="s">
        <v>218</v>
      </c>
      <c r="E16" s="63"/>
      <c r="F16" s="94">
        <v>0.19</v>
      </c>
      <c r="K16" s="2"/>
    </row>
    <row r="17" spans="1:15" x14ac:dyDescent="0.25">
      <c r="A17" s="96" t="s">
        <v>23</v>
      </c>
      <c r="B17" s="99">
        <v>0.7</v>
      </c>
      <c r="D17" s="63" t="s">
        <v>214</v>
      </c>
      <c r="E17" s="63"/>
      <c r="F17" s="95">
        <f>F15*F16/F14</f>
        <v>11.728395061728394</v>
      </c>
      <c r="G17" s="2"/>
      <c r="K17" s="2"/>
    </row>
    <row r="18" spans="1:15" x14ac:dyDescent="0.25">
      <c r="A18" s="96" t="s">
        <v>24</v>
      </c>
      <c r="B18" s="98">
        <v>7.4999999999999997E-2</v>
      </c>
      <c r="D18" s="63" t="s">
        <v>215</v>
      </c>
      <c r="E18" s="63"/>
      <c r="F18" s="95">
        <f>F15+F17</f>
        <v>61.728395061728392</v>
      </c>
      <c r="G18" s="2"/>
      <c r="K18" s="2"/>
    </row>
    <row r="19" spans="1:15" x14ac:dyDescent="0.25">
      <c r="A19" s="96" t="s">
        <v>26</v>
      </c>
      <c r="B19" s="100">
        <v>40</v>
      </c>
      <c r="E19" s="2"/>
      <c r="F19" s="2"/>
      <c r="G19" s="3"/>
      <c r="K19" s="2"/>
    </row>
    <row r="20" spans="1:15" x14ac:dyDescent="0.25">
      <c r="A20" s="96" t="s">
        <v>27</v>
      </c>
      <c r="B20" s="100">
        <v>0.2</v>
      </c>
      <c r="D20" s="58" t="s">
        <v>219</v>
      </c>
      <c r="E20" s="58">
        <v>11</v>
      </c>
      <c r="F20" s="55" t="s">
        <v>21</v>
      </c>
      <c r="G20" s="2"/>
      <c r="K20" s="2"/>
    </row>
    <row r="21" spans="1:15" x14ac:dyDescent="0.25">
      <c r="D21" s="58" t="s">
        <v>220</v>
      </c>
      <c r="E21" s="58">
        <f>E20*B20</f>
        <v>2.2000000000000002</v>
      </c>
      <c r="F21" s="55" t="s">
        <v>28</v>
      </c>
      <c r="G21" s="2"/>
      <c r="K21" s="2"/>
    </row>
    <row r="22" spans="1:15" x14ac:dyDescent="0.25">
      <c r="E22" s="2"/>
      <c r="J22" s="2"/>
    </row>
    <row r="23" spans="1:15" x14ac:dyDescent="0.25">
      <c r="F23" s="2"/>
      <c r="K23" s="2"/>
    </row>
    <row r="24" spans="1:15" ht="20.25" thickBot="1" x14ac:dyDescent="0.35">
      <c r="A24" s="136" t="s">
        <v>29</v>
      </c>
      <c r="B24" s="136"/>
      <c r="C24" s="136"/>
      <c r="F24" s="2"/>
      <c r="K24" s="2"/>
    </row>
    <row r="25" spans="1:15" ht="15.75" thickTop="1" x14ac:dyDescent="0.25">
      <c r="A25" s="2" t="s">
        <v>30</v>
      </c>
      <c r="I25" s="2" t="s">
        <v>31</v>
      </c>
    </row>
    <row r="26" spans="1:15" x14ac:dyDescent="0.25">
      <c r="A26" s="87" t="s">
        <v>32</v>
      </c>
      <c r="B26" s="87" t="s">
        <v>33</v>
      </c>
      <c r="C26" s="87" t="s">
        <v>34</v>
      </c>
      <c r="D26" s="87" t="s">
        <v>35</v>
      </c>
      <c r="E26" s="63" t="s">
        <v>36</v>
      </c>
      <c r="F26" s="63" t="s">
        <v>37</v>
      </c>
      <c r="G26" s="63" t="s">
        <v>38</v>
      </c>
      <c r="I26" s="87" t="s">
        <v>32</v>
      </c>
      <c r="J26" s="87" t="s">
        <v>33</v>
      </c>
      <c r="K26" s="87" t="s">
        <v>34</v>
      </c>
      <c r="L26" s="87" t="s">
        <v>35</v>
      </c>
      <c r="M26" s="63" t="s">
        <v>36</v>
      </c>
      <c r="N26" s="63" t="s">
        <v>37</v>
      </c>
      <c r="O26" s="63" t="s">
        <v>38</v>
      </c>
    </row>
    <row r="27" spans="1:15" x14ac:dyDescent="0.25">
      <c r="A27" s="87">
        <v>17.024000000000001</v>
      </c>
      <c r="B27" s="87">
        <v>5.6284999999999998</v>
      </c>
      <c r="C27" s="87">
        <v>18.102399999999999</v>
      </c>
      <c r="D27" s="87">
        <v>17.349699999999999</v>
      </c>
      <c r="E27" s="86">
        <f>(C27-A27)/B27</f>
        <v>0.19159634005507659</v>
      </c>
      <c r="F27" s="86">
        <f>(C27-D27)/B27</f>
        <v>0.13373012347872451</v>
      </c>
      <c r="G27" s="88">
        <f>+F27/E27</f>
        <v>0.697978486646886</v>
      </c>
      <c r="I27" s="87">
        <v>22.0685</v>
      </c>
      <c r="J27" s="87">
        <v>5.1460999999999997</v>
      </c>
      <c r="K27" s="87">
        <v>22.253499999999999</v>
      </c>
      <c r="L27" s="87">
        <v>22.128</v>
      </c>
      <c r="M27" s="86">
        <f>(K27-I27)/J27</f>
        <v>3.594955403120785E-2</v>
      </c>
      <c r="N27" s="86">
        <f>(K27-L27)/J27</f>
        <v>2.4387400167116619E-2</v>
      </c>
      <c r="O27" s="86">
        <f>+N27/M27</f>
        <v>0.67837837837837678</v>
      </c>
    </row>
    <row r="28" spans="1:15" x14ac:dyDescent="0.25">
      <c r="A28" s="87">
        <v>22.408999999999999</v>
      </c>
      <c r="B28" s="87">
        <v>5.0252999999999997</v>
      </c>
      <c r="C28" s="87">
        <v>23.353400000000001</v>
      </c>
      <c r="D28" s="87">
        <v>22.693000000000001</v>
      </c>
      <c r="E28" s="86">
        <f>(C28-A28)/B28</f>
        <v>0.18792907886096388</v>
      </c>
      <c r="F28" s="86">
        <f>(C28-D28)/B28</f>
        <v>0.1314150398981154</v>
      </c>
      <c r="G28" s="88">
        <f>+F28/E28</f>
        <v>0.69927996611605048</v>
      </c>
      <c r="I28" s="87">
        <v>15.745200000000001</v>
      </c>
      <c r="J28" s="87">
        <v>7.7365000000000004</v>
      </c>
      <c r="K28" s="87">
        <v>16.021899999999999</v>
      </c>
      <c r="L28" s="87">
        <v>15.833500000000001</v>
      </c>
      <c r="M28" s="86">
        <f t="shared" ref="M28:M29" si="3">(K28-I28)/J28</f>
        <v>3.5765527047114089E-2</v>
      </c>
      <c r="N28" s="86">
        <f t="shared" ref="N28:N29" si="4">(K28-L28)/J28</f>
        <v>2.4352097201576668E-2</v>
      </c>
      <c r="O28" s="86">
        <f>+N28/M28</f>
        <v>0.68088182146729004</v>
      </c>
    </row>
    <row r="29" spans="1:15" x14ac:dyDescent="0.25">
      <c r="A29" s="87">
        <v>23.6951</v>
      </c>
      <c r="B29" s="87">
        <v>5.4927000000000001</v>
      </c>
      <c r="C29" s="87">
        <v>24.7287</v>
      </c>
      <c r="D29" s="87">
        <v>24.005600000000001</v>
      </c>
      <c r="E29" s="86">
        <f>(C29-A29)/B29</f>
        <v>0.18817703497369231</v>
      </c>
      <c r="F29" s="86">
        <f>(C29-D29)/B29</f>
        <v>0.13164745935514388</v>
      </c>
      <c r="G29" s="88">
        <f>+F29/E29</f>
        <v>0.69959365325077294</v>
      </c>
      <c r="I29" s="87">
        <v>21.748100000000001</v>
      </c>
      <c r="J29" s="87">
        <v>5.3747999999999996</v>
      </c>
      <c r="K29" s="87">
        <v>21.941199999999998</v>
      </c>
      <c r="L29" s="87">
        <v>21.809799999999999</v>
      </c>
      <c r="M29" s="86">
        <f t="shared" si="3"/>
        <v>3.5926918210909729E-2</v>
      </c>
      <c r="N29" s="86">
        <f t="shared" si="4"/>
        <v>2.4447421299397056E-2</v>
      </c>
      <c r="O29" s="86">
        <f>+N29/M29</f>
        <v>0.68047643707923833</v>
      </c>
    </row>
    <row r="30" spans="1:15" x14ac:dyDescent="0.25">
      <c r="D30" s="87" t="s">
        <v>39</v>
      </c>
      <c r="E30" s="89">
        <f>AVERAGE(E27:E29)</f>
        <v>0.18923415129657761</v>
      </c>
      <c r="F30" s="89">
        <f t="shared" ref="F30:G30" si="5">AVERAGE(F27:F29)</f>
        <v>0.13226420757732793</v>
      </c>
      <c r="G30" s="89">
        <f t="shared" si="5"/>
        <v>0.69895070200456966</v>
      </c>
      <c r="L30" s="87" t="s">
        <v>39</v>
      </c>
      <c r="M30" s="89">
        <f>AVERAGE(M27:M29)</f>
        <v>3.5880666429743892E-2</v>
      </c>
      <c r="N30" s="89">
        <f t="shared" ref="N30:O30" si="6">AVERAGE(N27:N29)</f>
        <v>2.4395639556030118E-2</v>
      </c>
      <c r="O30" s="89">
        <f t="shared" si="6"/>
        <v>0.67991221230830179</v>
      </c>
    </row>
    <row r="32" spans="1:15" x14ac:dyDescent="0.25">
      <c r="A32" s="2" t="s">
        <v>212</v>
      </c>
      <c r="I32" s="2" t="s">
        <v>211</v>
      </c>
    </row>
    <row r="33" spans="1:17" x14ac:dyDescent="0.25">
      <c r="A33" s="87" t="s">
        <v>32</v>
      </c>
      <c r="B33" s="87" t="s">
        <v>33</v>
      </c>
      <c r="C33" s="87" t="s">
        <v>34</v>
      </c>
      <c r="D33" s="87" t="s">
        <v>35</v>
      </c>
      <c r="E33" s="63" t="s">
        <v>36</v>
      </c>
      <c r="F33" s="63" t="s">
        <v>37</v>
      </c>
      <c r="G33" s="63" t="s">
        <v>38</v>
      </c>
      <c r="I33" s="87" t="s">
        <v>32</v>
      </c>
      <c r="J33" s="87" t="s">
        <v>33</v>
      </c>
      <c r="K33" s="87" t="s">
        <v>34</v>
      </c>
      <c r="L33" s="87" t="s">
        <v>35</v>
      </c>
      <c r="M33" s="63" t="s">
        <v>36</v>
      </c>
      <c r="N33" s="63" t="s">
        <v>37</v>
      </c>
      <c r="O33" s="63" t="s">
        <v>38</v>
      </c>
    </row>
    <row r="34" spans="1:17" x14ac:dyDescent="0.25">
      <c r="A34" s="87">
        <v>22.0718</v>
      </c>
      <c r="B34" s="87">
        <v>1.573</v>
      </c>
      <c r="C34" s="87">
        <v>22.744599999999998</v>
      </c>
      <c r="D34" s="87">
        <v>22.100200000000001</v>
      </c>
      <c r="E34" s="86">
        <f>(C34-A34)/B34</f>
        <v>0.42771773680864511</v>
      </c>
      <c r="F34" s="86">
        <f>(C34-D34)/B34</f>
        <v>0.40966306420851711</v>
      </c>
      <c r="G34" s="86">
        <f>+F34/E34</f>
        <v>0.95778834720570538</v>
      </c>
      <c r="I34" s="87">
        <v>23.695399999999999</v>
      </c>
      <c r="J34" s="87">
        <v>1.0666</v>
      </c>
      <c r="K34" s="87">
        <v>23.946200000000001</v>
      </c>
      <c r="L34" s="87">
        <v>23.815799999999999</v>
      </c>
      <c r="M34" s="86">
        <f>(K34-I34)/J34</f>
        <v>0.23513969623101602</v>
      </c>
      <c r="N34" s="86">
        <f>(K34-L34)/J34</f>
        <v>0.12225764110257044</v>
      </c>
      <c r="O34" s="86">
        <f>+N34/M34</f>
        <v>0.51993620414673347</v>
      </c>
    </row>
    <row r="35" spans="1:17" x14ac:dyDescent="0.25">
      <c r="A35" s="87">
        <v>15.746600000000001</v>
      </c>
      <c r="B35" s="87">
        <v>1.2586999999999999</v>
      </c>
      <c r="C35" s="87">
        <v>16.287400000000002</v>
      </c>
      <c r="D35" s="87">
        <v>15.769</v>
      </c>
      <c r="E35" s="86">
        <f>(C35-A35)/B35</f>
        <v>0.4296496385159298</v>
      </c>
      <c r="F35" s="86">
        <f>(C35-D35)/B35</f>
        <v>0.41185349964248952</v>
      </c>
      <c r="G35" s="86">
        <f>+F35/E35</f>
        <v>0.95857988165680608</v>
      </c>
      <c r="I35" s="87">
        <v>22.409600000000001</v>
      </c>
      <c r="J35" s="87">
        <v>1.0421</v>
      </c>
      <c r="K35" s="87">
        <v>22.695599999999999</v>
      </c>
      <c r="L35" s="87">
        <v>22.527200000000001</v>
      </c>
      <c r="M35" s="86">
        <f t="shared" ref="M35:M36" si="7">(K35-I35)/J35</f>
        <v>0.27444583053449556</v>
      </c>
      <c r="N35" s="86">
        <f t="shared" ref="N35:N36" si="8">(K35-L35)/J35</f>
        <v>0.16159677574129003</v>
      </c>
      <c r="O35" s="86">
        <f>+N35/M35</f>
        <v>0.58881118881118744</v>
      </c>
    </row>
    <row r="36" spans="1:17" x14ac:dyDescent="0.25">
      <c r="A36" s="87">
        <v>21.750599999999999</v>
      </c>
      <c r="B36" s="87">
        <v>1.2475000000000001</v>
      </c>
      <c r="C36" s="87">
        <v>22.2851</v>
      </c>
      <c r="D36" s="87">
        <v>21.772500000000001</v>
      </c>
      <c r="E36" s="86">
        <f>(C36-A36)/B36</f>
        <v>0.42845691382765633</v>
      </c>
      <c r="F36" s="86">
        <f>(C36-D36)/B36</f>
        <v>0.41090180360721368</v>
      </c>
      <c r="G36" s="86">
        <f>+F36/E36</f>
        <v>0.95902712815715219</v>
      </c>
      <c r="I36" s="87">
        <v>17.025099999999998</v>
      </c>
      <c r="J36" s="87">
        <v>1.0259</v>
      </c>
      <c r="K36" s="87">
        <v>17.286000000000001</v>
      </c>
      <c r="L36" s="87">
        <v>17.140499999999999</v>
      </c>
      <c r="M36" s="86">
        <f t="shared" si="7"/>
        <v>0.25431328589531438</v>
      </c>
      <c r="N36" s="86">
        <f t="shared" si="8"/>
        <v>0.14182668876108973</v>
      </c>
      <c r="O36" s="86">
        <f>+N36/M36</f>
        <v>0.55768493675737929</v>
      </c>
    </row>
    <row r="37" spans="1:17" x14ac:dyDescent="0.25">
      <c r="D37" s="87" t="s">
        <v>39</v>
      </c>
      <c r="E37" s="89">
        <f>AVERAGE(E34:E36)</f>
        <v>0.4286080963840771</v>
      </c>
      <c r="F37" s="89">
        <f t="shared" ref="F37:G37" si="9">AVERAGE(F34:F36)</f>
        <v>0.41080612248607346</v>
      </c>
      <c r="G37" s="89">
        <f t="shared" si="9"/>
        <v>0.95846511900655462</v>
      </c>
      <c r="L37" s="87" t="s">
        <v>39</v>
      </c>
      <c r="M37" s="89">
        <f>AVERAGE(M34:M36)</f>
        <v>0.25463293755360866</v>
      </c>
      <c r="N37" s="89">
        <f t="shared" ref="N37:O37" si="10">AVERAGE(N34:N36)</f>
        <v>0.14189370186831674</v>
      </c>
      <c r="O37" s="89">
        <f t="shared" si="10"/>
        <v>0.5554774432384334</v>
      </c>
    </row>
    <row r="39" spans="1:17" x14ac:dyDescent="0.25">
      <c r="G39" s="2"/>
      <c r="H39" s="2"/>
      <c r="I39" s="3"/>
    </row>
    <row r="40" spans="1:17" ht="15.75" thickBot="1" x14ac:dyDescent="0.3">
      <c r="A40" s="2" t="s">
        <v>40</v>
      </c>
      <c r="B40" s="4">
        <v>44217</v>
      </c>
      <c r="C40" s="5">
        <v>0.57291666666666663</v>
      </c>
      <c r="D40" s="5"/>
      <c r="G40" s="2"/>
      <c r="H40" s="2"/>
      <c r="I40" s="3"/>
      <c r="J40" s="2"/>
    </row>
    <row r="41" spans="1:17" x14ac:dyDescent="0.25">
      <c r="A41" s="133" t="s">
        <v>41</v>
      </c>
      <c r="B41" s="134"/>
      <c r="C41" s="134"/>
      <c r="D41" s="134"/>
      <c r="E41" s="134"/>
      <c r="F41" s="134"/>
      <c r="G41" s="135"/>
      <c r="H41" s="133" t="s">
        <v>42</v>
      </c>
      <c r="I41" s="134"/>
      <c r="J41" s="134"/>
      <c r="K41" s="134"/>
      <c r="L41" s="134"/>
      <c r="M41" s="134"/>
      <c r="N41" s="135"/>
    </row>
    <row r="42" spans="1:17" ht="60" x14ac:dyDescent="0.25">
      <c r="A42" s="6" t="s">
        <v>43</v>
      </c>
      <c r="B42" s="13" t="s">
        <v>44</v>
      </c>
      <c r="C42" s="13" t="s">
        <v>45</v>
      </c>
      <c r="D42" s="13" t="s">
        <v>46</v>
      </c>
      <c r="E42" s="13" t="s">
        <v>47</v>
      </c>
      <c r="F42" s="13" t="s">
        <v>48</v>
      </c>
      <c r="G42" s="7" t="s">
        <v>49</v>
      </c>
      <c r="H42" s="6" t="s">
        <v>45</v>
      </c>
      <c r="I42" s="13" t="s">
        <v>46</v>
      </c>
      <c r="J42" s="13" t="s">
        <v>48</v>
      </c>
      <c r="K42" s="13" t="s">
        <v>50</v>
      </c>
      <c r="L42" s="13" t="s">
        <v>51</v>
      </c>
      <c r="M42" s="13" t="s">
        <v>52</v>
      </c>
      <c r="N42" s="80" t="s">
        <v>53</v>
      </c>
      <c r="O42" s="63" t="s">
        <v>54</v>
      </c>
      <c r="P42" s="84" t="s">
        <v>55</v>
      </c>
      <c r="Q42" s="85" t="s">
        <v>36</v>
      </c>
    </row>
    <row r="43" spans="1:17" x14ac:dyDescent="0.25">
      <c r="A43" s="8" t="s">
        <v>56</v>
      </c>
      <c r="B43" s="15" t="s">
        <v>57</v>
      </c>
      <c r="C43">
        <f>$B$20*$B$18/$B$15*1000</f>
        <v>64.377682403433468</v>
      </c>
      <c r="D43" s="15">
        <f t="shared" ref="D43:D54" si="11">C43*$B$15/$B$19/$B$14</f>
        <v>7.4999999999999982</v>
      </c>
      <c r="E43">
        <f t="shared" ref="E43:E54" si="12">C43*$B$15*$F$13/$F$18*1000</f>
        <v>4.8599999999999994</v>
      </c>
      <c r="F43" s="14">
        <f t="shared" ref="F43:F54" si="13">$B$20*1000-C43-D43-E43</f>
        <v>123.26231759656652</v>
      </c>
      <c r="G43" s="9">
        <v>0</v>
      </c>
      <c r="H43" s="8">
        <v>64.489999999999995</v>
      </c>
      <c r="I43">
        <v>7.5</v>
      </c>
      <c r="J43">
        <v>123.29</v>
      </c>
      <c r="K43">
        <v>4.92</v>
      </c>
      <c r="L43">
        <v>0</v>
      </c>
      <c r="M43">
        <v>22</v>
      </c>
      <c r="N43" s="81">
        <v>242.46</v>
      </c>
      <c r="O43" s="86">
        <f>(H43*$F$30+I43*$N$30+K43/1000*$F$15*$F$37+K43/1000*$F$17*$N$37)/SUM(H43:K43)</f>
        <v>4.4065595112855682E-2</v>
      </c>
      <c r="P43" s="53">
        <f>0.05*60/2000*F43*40</f>
        <v>7.3957390557939915</v>
      </c>
      <c r="Q43" s="67">
        <f>C43*$E$30/(C43+D43+E43+F43)</f>
        <v>6.0912280460271757E-2</v>
      </c>
    </row>
    <row r="44" spans="1:17" x14ac:dyDescent="0.25">
      <c r="A44" s="8" t="s">
        <v>56</v>
      </c>
      <c r="B44" s="15" t="s">
        <v>58</v>
      </c>
      <c r="C44">
        <f t="shared" ref="C44:C54" si="14">$B$20*$B$18/$B$15*1000</f>
        <v>64.377682403433468</v>
      </c>
      <c r="D44" s="15">
        <f t="shared" si="11"/>
        <v>7.4999999999999982</v>
      </c>
      <c r="E44">
        <f t="shared" si="12"/>
        <v>4.8599999999999994</v>
      </c>
      <c r="F44" s="14">
        <f t="shared" si="13"/>
        <v>123.26231759656652</v>
      </c>
      <c r="G44" s="9">
        <v>0</v>
      </c>
      <c r="H44" s="8">
        <v>64.400000000000006</v>
      </c>
      <c r="I44">
        <v>7.6</v>
      </c>
      <c r="J44">
        <v>123.31</v>
      </c>
      <c r="K44">
        <v>4.9000000000000004</v>
      </c>
      <c r="L44">
        <v>0</v>
      </c>
      <c r="M44">
        <v>24</v>
      </c>
      <c r="N44" s="81">
        <v>242.99</v>
      </c>
      <c r="O44" s="86">
        <f t="shared" ref="O44:O54" si="15">(H44*$F$30+I44*$N$30+K44/1000*$F$15*$F$37+K44/1000*$F$17*$N$37)/SUM(H44:K44)</f>
        <v>4.4013904585370474E-2</v>
      </c>
      <c r="P44" s="53">
        <f t="shared" ref="P44" si="16">0.05*60/2000*F44*40</f>
        <v>7.3957390557939915</v>
      </c>
      <c r="Q44" s="67">
        <f t="shared" ref="Q44:Q54" si="17">C44*$E$30/(C44+D44+E44+F44)</f>
        <v>6.0912280460271757E-2</v>
      </c>
    </row>
    <row r="45" spans="1:17" x14ac:dyDescent="0.25">
      <c r="A45" s="8" t="s">
        <v>59</v>
      </c>
      <c r="B45" s="15" t="s">
        <v>60</v>
      </c>
      <c r="C45">
        <f t="shared" si="14"/>
        <v>64.377682403433468</v>
      </c>
      <c r="D45" s="15">
        <f t="shared" si="11"/>
        <v>7.4999999999999982</v>
      </c>
      <c r="E45">
        <f t="shared" si="12"/>
        <v>4.8599999999999994</v>
      </c>
      <c r="F45" s="14">
        <f t="shared" si="13"/>
        <v>123.26231759656652</v>
      </c>
      <c r="G45" s="9">
        <v>0</v>
      </c>
      <c r="H45" s="8">
        <v>64.39</v>
      </c>
      <c r="I45">
        <v>7.52</v>
      </c>
      <c r="J45">
        <v>123.29</v>
      </c>
      <c r="K45">
        <v>4.8899999999999997</v>
      </c>
      <c r="L45">
        <v>0</v>
      </c>
      <c r="M45">
        <v>4</v>
      </c>
      <c r="N45" s="81">
        <v>241.82</v>
      </c>
      <c r="O45" s="86">
        <f t="shared" si="15"/>
        <v>4.4022827222158029E-2</v>
      </c>
      <c r="P45" s="53">
        <f>0.05*10/2000*F45*40</f>
        <v>1.2326231759656652</v>
      </c>
      <c r="Q45" s="67">
        <f t="shared" si="17"/>
        <v>6.0912280460271757E-2</v>
      </c>
    </row>
    <row r="46" spans="1:17" x14ac:dyDescent="0.25">
      <c r="A46" s="8" t="s">
        <v>59</v>
      </c>
      <c r="B46" s="15" t="s">
        <v>61</v>
      </c>
      <c r="C46">
        <f t="shared" si="14"/>
        <v>64.377682403433468</v>
      </c>
      <c r="D46" s="15">
        <f t="shared" si="11"/>
        <v>7.4999999999999982</v>
      </c>
      <c r="E46">
        <f t="shared" si="12"/>
        <v>4.8599999999999994</v>
      </c>
      <c r="F46" s="14">
        <f t="shared" si="13"/>
        <v>123.26231759656652</v>
      </c>
      <c r="G46" s="9">
        <v>0</v>
      </c>
      <c r="H46" s="8">
        <v>64.59</v>
      </c>
      <c r="I46">
        <v>7.52</v>
      </c>
      <c r="J46">
        <v>123.29</v>
      </c>
      <c r="K46">
        <v>4.9000000000000004</v>
      </c>
      <c r="L46">
        <v>0</v>
      </c>
      <c r="M46">
        <v>4</v>
      </c>
      <c r="N46" s="81">
        <v>241.78</v>
      </c>
      <c r="O46" s="86">
        <f t="shared" si="15"/>
        <v>4.4109847155827421E-2</v>
      </c>
      <c r="P46" s="53">
        <f>0.05*10/2000*F46*40</f>
        <v>1.2326231759656652</v>
      </c>
      <c r="Q46" s="67">
        <f t="shared" si="17"/>
        <v>6.0912280460271757E-2</v>
      </c>
    </row>
    <row r="47" spans="1:17" x14ac:dyDescent="0.25">
      <c r="A47" s="8" t="s">
        <v>213</v>
      </c>
      <c r="B47" s="15" t="s">
        <v>63</v>
      </c>
      <c r="C47">
        <f t="shared" si="14"/>
        <v>64.377682403433468</v>
      </c>
      <c r="D47" s="15">
        <f t="shared" si="11"/>
        <v>7.4999999999999982</v>
      </c>
      <c r="E47">
        <f t="shared" si="12"/>
        <v>4.8599999999999994</v>
      </c>
      <c r="F47" s="14">
        <f t="shared" si="13"/>
        <v>123.26231759656652</v>
      </c>
      <c r="G47" s="9">
        <v>0</v>
      </c>
      <c r="H47" s="8">
        <v>64.41</v>
      </c>
      <c r="I47">
        <v>7.5</v>
      </c>
      <c r="J47">
        <v>123.31</v>
      </c>
      <c r="K47">
        <v>4.8899999999999997</v>
      </c>
      <c r="L47">
        <v>0</v>
      </c>
      <c r="M47">
        <v>0</v>
      </c>
      <c r="N47" s="81">
        <v>242.19</v>
      </c>
      <c r="O47" s="86">
        <f t="shared" si="15"/>
        <v>4.4029208286652466E-2</v>
      </c>
      <c r="P47" s="53">
        <v>0</v>
      </c>
      <c r="Q47" s="67">
        <f t="shared" si="17"/>
        <v>6.0912280460271757E-2</v>
      </c>
    </row>
    <row r="48" spans="1:17" x14ac:dyDescent="0.25">
      <c r="A48" s="8" t="s">
        <v>62</v>
      </c>
      <c r="B48" s="15" t="s">
        <v>64</v>
      </c>
      <c r="C48">
        <f t="shared" si="14"/>
        <v>64.377682403433468</v>
      </c>
      <c r="D48" s="15">
        <f t="shared" si="11"/>
        <v>7.4999999999999982</v>
      </c>
      <c r="E48">
        <f t="shared" si="12"/>
        <v>4.8599999999999994</v>
      </c>
      <c r="F48" s="14">
        <f t="shared" si="13"/>
        <v>123.26231759656652</v>
      </c>
      <c r="G48" s="9">
        <v>0</v>
      </c>
      <c r="H48" s="8">
        <v>64.430000000000007</v>
      </c>
      <c r="I48">
        <v>7.51</v>
      </c>
      <c r="J48">
        <v>123.3</v>
      </c>
      <c r="K48">
        <v>4.91</v>
      </c>
      <c r="L48">
        <v>0</v>
      </c>
      <c r="M48">
        <v>0</v>
      </c>
      <c r="N48" s="81">
        <v>241.05</v>
      </c>
      <c r="O48" s="86">
        <f t="shared" si="15"/>
        <v>4.4037063205693061E-2</v>
      </c>
      <c r="P48" s="53">
        <v>0</v>
      </c>
      <c r="Q48" s="67">
        <f t="shared" si="17"/>
        <v>6.0912280460271757E-2</v>
      </c>
    </row>
    <row r="49" spans="1:17" x14ac:dyDescent="0.25">
      <c r="A49" s="8" t="s">
        <v>65</v>
      </c>
      <c r="B49" s="15" t="s">
        <v>66</v>
      </c>
      <c r="C49">
        <f t="shared" si="14"/>
        <v>64.377682403433468</v>
      </c>
      <c r="D49" s="15">
        <f t="shared" si="11"/>
        <v>7.4999999999999982</v>
      </c>
      <c r="E49">
        <f t="shared" si="12"/>
        <v>4.8599999999999994</v>
      </c>
      <c r="F49" s="14">
        <f t="shared" si="13"/>
        <v>123.26231759656652</v>
      </c>
      <c r="G49" s="21">
        <f t="shared" ref="G49:G54" si="18">$E$20*$B$20</f>
        <v>2.2000000000000002</v>
      </c>
      <c r="H49" s="8">
        <v>64.39</v>
      </c>
      <c r="I49">
        <v>7.52</v>
      </c>
      <c r="J49">
        <v>123.31</v>
      </c>
      <c r="K49">
        <v>4.8600000000000003</v>
      </c>
      <c r="L49">
        <v>2.1800000000000002</v>
      </c>
      <c r="M49">
        <v>24</v>
      </c>
      <c r="N49" s="81">
        <v>244.7</v>
      </c>
      <c r="O49" s="86">
        <f t="shared" si="15"/>
        <v>4.4021698141423933E-2</v>
      </c>
      <c r="P49" s="53">
        <f>0.05*60/2000*F49*40</f>
        <v>7.3957390557939915</v>
      </c>
      <c r="Q49" s="67">
        <f t="shared" si="17"/>
        <v>6.0912280460271757E-2</v>
      </c>
    </row>
    <row r="50" spans="1:17" x14ac:dyDescent="0.25">
      <c r="A50" s="8" t="s">
        <v>65</v>
      </c>
      <c r="B50" s="15" t="s">
        <v>67</v>
      </c>
      <c r="C50">
        <f t="shared" si="14"/>
        <v>64.377682403433468</v>
      </c>
      <c r="D50" s="15">
        <f t="shared" si="11"/>
        <v>7.4999999999999982</v>
      </c>
      <c r="E50">
        <f t="shared" si="12"/>
        <v>4.8599999999999994</v>
      </c>
      <c r="F50" s="14">
        <f t="shared" si="13"/>
        <v>123.26231759656652</v>
      </c>
      <c r="G50" s="21">
        <f t="shared" si="18"/>
        <v>2.2000000000000002</v>
      </c>
      <c r="H50" s="8">
        <v>64.41</v>
      </c>
      <c r="I50">
        <v>7.52</v>
      </c>
      <c r="J50">
        <v>123.32</v>
      </c>
      <c r="K50">
        <v>4.87</v>
      </c>
      <c r="L50">
        <v>2.19</v>
      </c>
      <c r="M50">
        <v>22</v>
      </c>
      <c r="N50" s="81">
        <v>244.75</v>
      </c>
      <c r="O50" s="86">
        <f t="shared" si="15"/>
        <v>4.4027227129736231E-2</v>
      </c>
      <c r="P50" s="53">
        <f t="shared" ref="P50" si="19">0.05*60/2000*F50*40</f>
        <v>7.3957390557939915</v>
      </c>
      <c r="Q50" s="67">
        <f t="shared" si="17"/>
        <v>6.0912280460271757E-2</v>
      </c>
    </row>
    <row r="51" spans="1:17" x14ac:dyDescent="0.25">
      <c r="A51" s="8" t="s">
        <v>68</v>
      </c>
      <c r="B51" s="15" t="s">
        <v>69</v>
      </c>
      <c r="C51">
        <f t="shared" si="14"/>
        <v>64.377682403433468</v>
      </c>
      <c r="D51" s="15">
        <f t="shared" si="11"/>
        <v>7.4999999999999982</v>
      </c>
      <c r="E51">
        <f t="shared" si="12"/>
        <v>4.8599999999999994</v>
      </c>
      <c r="F51" s="14">
        <f t="shared" si="13"/>
        <v>123.26231759656652</v>
      </c>
      <c r="G51" s="21">
        <f t="shared" si="18"/>
        <v>2.2000000000000002</v>
      </c>
      <c r="H51" s="8">
        <v>64.38</v>
      </c>
      <c r="I51">
        <v>7.5</v>
      </c>
      <c r="J51">
        <v>123.31</v>
      </c>
      <c r="K51">
        <v>4.87</v>
      </c>
      <c r="L51">
        <v>2.2000000000000002</v>
      </c>
      <c r="M51">
        <v>4</v>
      </c>
      <c r="N51" s="81">
        <v>243.56</v>
      </c>
      <c r="O51" s="86">
        <f t="shared" si="15"/>
        <v>4.4018158823274887E-2</v>
      </c>
      <c r="P51" s="53">
        <f>0.05*10/2000*F51*40</f>
        <v>1.2326231759656652</v>
      </c>
      <c r="Q51" s="67">
        <f t="shared" si="17"/>
        <v>6.0912280460271757E-2</v>
      </c>
    </row>
    <row r="52" spans="1:17" x14ac:dyDescent="0.25">
      <c r="A52" s="8" t="s">
        <v>68</v>
      </c>
      <c r="B52" s="15" t="s">
        <v>70</v>
      </c>
      <c r="C52">
        <f t="shared" si="14"/>
        <v>64.377682403433468</v>
      </c>
      <c r="D52" s="15">
        <f t="shared" si="11"/>
        <v>7.4999999999999982</v>
      </c>
      <c r="E52">
        <f t="shared" si="12"/>
        <v>4.8599999999999994</v>
      </c>
      <c r="F52" s="14">
        <f t="shared" si="13"/>
        <v>123.26231759656652</v>
      </c>
      <c r="G52" s="21">
        <f t="shared" si="18"/>
        <v>2.2000000000000002</v>
      </c>
      <c r="H52" s="8">
        <v>64.400000000000006</v>
      </c>
      <c r="I52">
        <v>7.52</v>
      </c>
      <c r="J52">
        <v>123.32</v>
      </c>
      <c r="K52">
        <v>4.9000000000000004</v>
      </c>
      <c r="L52">
        <v>2.21</v>
      </c>
      <c r="M52">
        <v>4</v>
      </c>
      <c r="N52" s="81">
        <v>244.19</v>
      </c>
      <c r="O52" s="86">
        <f t="shared" si="15"/>
        <v>4.4019547246290293E-2</v>
      </c>
      <c r="P52" s="53">
        <f>0.05*10/2000*F52*40</f>
        <v>1.2326231759656652</v>
      </c>
      <c r="Q52" s="67">
        <f t="shared" si="17"/>
        <v>6.0912280460271757E-2</v>
      </c>
    </row>
    <row r="53" spans="1:17" x14ac:dyDescent="0.25">
      <c r="A53" s="8" t="s">
        <v>71</v>
      </c>
      <c r="B53" s="15" t="s">
        <v>72</v>
      </c>
      <c r="C53">
        <f t="shared" si="14"/>
        <v>64.377682403433468</v>
      </c>
      <c r="D53" s="15">
        <f t="shared" si="11"/>
        <v>7.4999999999999982</v>
      </c>
      <c r="E53">
        <f t="shared" si="12"/>
        <v>4.8599999999999994</v>
      </c>
      <c r="F53" s="14">
        <f t="shared" si="13"/>
        <v>123.26231759656652</v>
      </c>
      <c r="G53" s="21">
        <f t="shared" si="18"/>
        <v>2.2000000000000002</v>
      </c>
      <c r="H53" s="8">
        <v>64.61</v>
      </c>
      <c r="I53">
        <v>7.54</v>
      </c>
      <c r="J53">
        <v>123.31</v>
      </c>
      <c r="K53">
        <v>4.88</v>
      </c>
      <c r="L53">
        <v>2.2000000000000002</v>
      </c>
      <c r="M53">
        <v>0</v>
      </c>
      <c r="N53" s="81">
        <v>243.66</v>
      </c>
      <c r="O53" s="86">
        <f t="shared" si="15"/>
        <v>4.411446287523494E-2</v>
      </c>
      <c r="P53" s="53">
        <v>0</v>
      </c>
      <c r="Q53" s="67">
        <f t="shared" si="17"/>
        <v>6.0912280460271757E-2</v>
      </c>
    </row>
    <row r="54" spans="1:17" ht="15.75" thickBot="1" x14ac:dyDescent="0.3">
      <c r="A54" s="16" t="s">
        <v>71</v>
      </c>
      <c r="B54" s="17" t="s">
        <v>73</v>
      </c>
      <c r="C54" s="18">
        <f t="shared" si="14"/>
        <v>64.377682403433468</v>
      </c>
      <c r="D54" s="17">
        <f t="shared" si="11"/>
        <v>7.4999999999999982</v>
      </c>
      <c r="E54" s="18">
        <f t="shared" si="12"/>
        <v>4.8599999999999994</v>
      </c>
      <c r="F54" s="19">
        <f t="shared" si="13"/>
        <v>123.26231759656652</v>
      </c>
      <c r="G54" s="22">
        <f t="shared" si="18"/>
        <v>2.2000000000000002</v>
      </c>
      <c r="H54" s="16">
        <v>64.45</v>
      </c>
      <c r="I54" s="18">
        <v>7.5</v>
      </c>
      <c r="J54" s="18">
        <v>123.33</v>
      </c>
      <c r="K54" s="18">
        <v>4.88</v>
      </c>
      <c r="L54" s="18">
        <v>2.21</v>
      </c>
      <c r="M54" s="18">
        <v>0</v>
      </c>
      <c r="N54" s="18">
        <v>243.08</v>
      </c>
      <c r="O54" s="86">
        <f t="shared" si="15"/>
        <v>4.4043532142435823E-2</v>
      </c>
      <c r="P54" s="53">
        <v>0</v>
      </c>
      <c r="Q54" s="67">
        <f t="shared" si="17"/>
        <v>6.0912280460271757E-2</v>
      </c>
    </row>
    <row r="55" spans="1:17" x14ac:dyDescent="0.25">
      <c r="B55" s="2" t="s">
        <v>25</v>
      </c>
      <c r="C55" s="2">
        <f>SUM(C43:C54)</f>
        <v>772.53218884120167</v>
      </c>
      <c r="D55" s="12">
        <f>SUM(D43:D54)</f>
        <v>89.999999999999986</v>
      </c>
      <c r="E55" s="2">
        <f>SUM(E43:E54)</f>
        <v>58.319999999999993</v>
      </c>
      <c r="G55" s="3">
        <f>SUM(G43:G54)</f>
        <v>13.2</v>
      </c>
      <c r="H55" s="25" t="s">
        <v>74</v>
      </c>
      <c r="I55" s="26">
        <v>0.57291666666666663</v>
      </c>
      <c r="J55" s="25" t="s">
        <v>75</v>
      </c>
    </row>
    <row r="56" spans="1:17" x14ac:dyDescent="0.25">
      <c r="H56" s="25" t="s">
        <v>74</v>
      </c>
      <c r="I56" s="26">
        <v>0.625</v>
      </c>
      <c r="J56" s="25" t="s">
        <v>76</v>
      </c>
    </row>
    <row r="58" spans="1:17" x14ac:dyDescent="0.25">
      <c r="G58" s="40"/>
    </row>
    <row r="59" spans="1:17" x14ac:dyDescent="0.25">
      <c r="E59" s="87"/>
    </row>
  </sheetData>
  <mergeCells count="5">
    <mergeCell ref="A2:C2"/>
    <mergeCell ref="A13:B13"/>
    <mergeCell ref="A41:G41"/>
    <mergeCell ref="H41:N41"/>
    <mergeCell ref="A24:C24"/>
  </mergeCells>
  <phoneticPr fontId="10" type="noConversion"/>
  <pageMargins left="0.7" right="0.7" top="0.75" bottom="0.75" header="0.3" footer="0.3"/>
  <pageSetup paperSize="9" orientation="portrait" r:id="rId1"/>
  <headerFooter>
    <oddHeader>&amp;R&amp;"Calibri"&amp;10&amp;K000000 PUBLIC / CYHOEDDUS&amp;1#_x000D_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B5BA4-0FEE-4925-839E-136C33C61903}">
  <dimension ref="A2:U125"/>
  <sheetViews>
    <sheetView topLeftCell="A70" zoomScaleNormal="100" workbookViewId="0">
      <selection activeCell="M93" sqref="M93"/>
    </sheetView>
  </sheetViews>
  <sheetFormatPr defaultRowHeight="15" x14ac:dyDescent="0.25"/>
  <cols>
    <col min="1" max="1" width="10.7109375" customWidth="1"/>
    <col min="4" max="4" width="10.42578125" customWidth="1"/>
    <col min="8" max="8" width="11" customWidth="1"/>
    <col min="12" max="12" width="10.7109375" customWidth="1"/>
  </cols>
  <sheetData>
    <row r="2" spans="1:21" x14ac:dyDescent="0.25">
      <c r="A2" s="2" t="s">
        <v>156</v>
      </c>
    </row>
    <row r="3" spans="1:21" x14ac:dyDescent="0.25">
      <c r="B3" s="2"/>
      <c r="C3" s="2" t="s">
        <v>157</v>
      </c>
      <c r="D3" s="2" t="s">
        <v>158</v>
      </c>
      <c r="E3" s="2" t="s">
        <v>159</v>
      </c>
      <c r="F3" s="2" t="s">
        <v>157</v>
      </c>
      <c r="G3" s="2" t="s">
        <v>158</v>
      </c>
      <c r="H3" s="2" t="s">
        <v>159</v>
      </c>
      <c r="I3" s="2"/>
      <c r="J3" s="2"/>
    </row>
    <row r="4" spans="1:21" x14ac:dyDescent="0.25">
      <c r="A4" s="2" t="s">
        <v>160</v>
      </c>
      <c r="B4" s="2" t="s">
        <v>161</v>
      </c>
      <c r="C4" s="2" t="s">
        <v>162</v>
      </c>
      <c r="D4" s="2" t="s">
        <v>162</v>
      </c>
      <c r="E4" s="2" t="s">
        <v>162</v>
      </c>
      <c r="F4" s="2" t="s">
        <v>163</v>
      </c>
      <c r="G4" s="2" t="s">
        <v>163</v>
      </c>
      <c r="H4" s="2" t="s">
        <v>163</v>
      </c>
      <c r="I4" s="2" t="s">
        <v>94</v>
      </c>
      <c r="J4" s="2" t="s">
        <v>95</v>
      </c>
      <c r="K4" s="2" t="s">
        <v>164</v>
      </c>
    </row>
    <row r="5" spans="1:21" ht="15.75" x14ac:dyDescent="0.25">
      <c r="A5" s="2" t="s">
        <v>142</v>
      </c>
      <c r="B5" s="44">
        <v>5.7480000000000002</v>
      </c>
      <c r="C5" s="44">
        <v>1719</v>
      </c>
      <c r="D5" s="44">
        <v>8950</v>
      </c>
      <c r="E5" s="44">
        <v>17824</v>
      </c>
      <c r="F5" s="45">
        <v>53</v>
      </c>
      <c r="G5" s="45">
        <v>263</v>
      </c>
      <c r="H5" s="45">
        <v>525</v>
      </c>
      <c r="I5">
        <f t="shared" ref="I5:I12" si="0">LINEST(C5:E5, F5:H5)</f>
        <v>34.110589876254735</v>
      </c>
      <c r="J5">
        <f t="shared" ref="J5:J12" si="1">INTERCEPT(C5:E5, F5:H5)</f>
        <v>-64.668695310077965</v>
      </c>
      <c r="K5">
        <f t="shared" ref="K5:K12" si="2">RSQ(C5:E5,F5:H5)</f>
        <v>0.9999780166127259</v>
      </c>
    </row>
    <row r="6" spans="1:21" ht="15.75" x14ac:dyDescent="0.25">
      <c r="A6" s="2" t="s">
        <v>143</v>
      </c>
      <c r="B6" s="44">
        <v>6.7190000000000003</v>
      </c>
      <c r="C6" s="44">
        <v>2733</v>
      </c>
      <c r="D6" s="44">
        <v>13725</v>
      </c>
      <c r="E6" s="44">
        <v>27224</v>
      </c>
      <c r="F6" s="45">
        <v>49</v>
      </c>
      <c r="G6" s="45">
        <v>247</v>
      </c>
      <c r="H6" s="45">
        <v>495</v>
      </c>
      <c r="I6">
        <f t="shared" si="0"/>
        <v>54.892645448962696</v>
      </c>
      <c r="J6">
        <f t="shared" si="1"/>
        <v>87.305816623498686</v>
      </c>
      <c r="K6">
        <f t="shared" si="2"/>
        <v>0.99996859651048864</v>
      </c>
    </row>
    <row r="7" spans="1:21" ht="15.75" x14ac:dyDescent="0.25">
      <c r="A7" s="2" t="s">
        <v>144</v>
      </c>
      <c r="B7" s="44">
        <v>7.056</v>
      </c>
      <c r="C7" s="44">
        <v>2989</v>
      </c>
      <c r="D7" s="44">
        <v>15399</v>
      </c>
      <c r="E7" s="44">
        <v>30563</v>
      </c>
      <c r="F7" s="45">
        <v>47</v>
      </c>
      <c r="G7" s="45">
        <v>235</v>
      </c>
      <c r="H7" s="45">
        <v>469</v>
      </c>
      <c r="I7">
        <f t="shared" si="0"/>
        <v>65.319646213047747</v>
      </c>
      <c r="J7">
        <f t="shared" si="1"/>
        <v>-34.684768666289528</v>
      </c>
      <c r="K7">
        <f t="shared" si="2"/>
        <v>0.99997242752209392</v>
      </c>
    </row>
    <row r="8" spans="1:21" ht="15.75" x14ac:dyDescent="0.25">
      <c r="A8" s="2" t="s">
        <v>145</v>
      </c>
      <c r="B8" s="44">
        <v>7.7720000000000002</v>
      </c>
      <c r="C8" s="44">
        <v>3159</v>
      </c>
      <c r="D8" s="44">
        <v>16596</v>
      </c>
      <c r="E8" s="44">
        <v>33097</v>
      </c>
      <c r="F8" s="45">
        <v>45</v>
      </c>
      <c r="G8" s="45">
        <v>227</v>
      </c>
      <c r="H8" s="45">
        <v>453</v>
      </c>
      <c r="I8">
        <f t="shared" si="0"/>
        <v>73.363003861743209</v>
      </c>
      <c r="J8">
        <f t="shared" si="1"/>
        <v>-112.05926658794488</v>
      </c>
      <c r="K8">
        <f t="shared" si="2"/>
        <v>0.99998999677236089</v>
      </c>
    </row>
    <row r="9" spans="1:21" ht="15.75" x14ac:dyDescent="0.25">
      <c r="A9" s="2" t="s">
        <v>146</v>
      </c>
      <c r="B9" s="44">
        <v>8.2390000000000008</v>
      </c>
      <c r="C9" s="44">
        <v>3396</v>
      </c>
      <c r="D9" s="44">
        <v>17818</v>
      </c>
      <c r="E9" s="44">
        <v>35259</v>
      </c>
      <c r="F9" s="45">
        <v>46</v>
      </c>
      <c r="G9" s="45">
        <v>228</v>
      </c>
      <c r="H9" s="45">
        <v>455</v>
      </c>
      <c r="I9">
        <f t="shared" si="0"/>
        <v>77.861177927552433</v>
      </c>
      <c r="J9">
        <f t="shared" si="1"/>
        <v>-95.932903061915567</v>
      </c>
      <c r="K9">
        <f t="shared" si="2"/>
        <v>0.9999227679308732</v>
      </c>
    </row>
    <row r="10" spans="1:21" ht="15.75" x14ac:dyDescent="0.25">
      <c r="A10" s="2" t="s">
        <v>147</v>
      </c>
      <c r="B10" s="44">
        <v>9.0129999999999999</v>
      </c>
      <c r="C10" s="44">
        <v>3486</v>
      </c>
      <c r="D10" s="44">
        <v>18624</v>
      </c>
      <c r="E10" s="44">
        <v>36585</v>
      </c>
      <c r="F10" s="45">
        <v>44</v>
      </c>
      <c r="G10" s="45">
        <v>221</v>
      </c>
      <c r="H10" s="45">
        <v>443</v>
      </c>
      <c r="I10">
        <f t="shared" si="0"/>
        <v>82.86951137131274</v>
      </c>
      <c r="J10">
        <f t="shared" si="1"/>
        <v>7.7953163701859012</v>
      </c>
      <c r="K10">
        <f t="shared" si="2"/>
        <v>0.99974972711240062</v>
      </c>
    </row>
    <row r="11" spans="1:21" ht="15.75" x14ac:dyDescent="0.25">
      <c r="A11" s="2" t="s">
        <v>148</v>
      </c>
      <c r="B11" s="44">
        <v>10.178000000000001</v>
      </c>
      <c r="C11" s="44">
        <v>3707</v>
      </c>
      <c r="D11" s="44">
        <v>19694</v>
      </c>
      <c r="E11" s="44">
        <v>39436</v>
      </c>
      <c r="F11" s="45">
        <v>44</v>
      </c>
      <c r="G11" s="45">
        <v>222</v>
      </c>
      <c r="H11" s="45">
        <v>444</v>
      </c>
      <c r="I11">
        <f t="shared" si="0"/>
        <v>89.306505428106661</v>
      </c>
      <c r="J11">
        <f t="shared" si="1"/>
        <v>-190.20628465190384</v>
      </c>
      <c r="K11">
        <f t="shared" si="2"/>
        <v>0.99999204735713232</v>
      </c>
    </row>
    <row r="12" spans="1:21" ht="15.75" x14ac:dyDescent="0.25">
      <c r="A12" s="2" t="s">
        <v>149</v>
      </c>
      <c r="B12" s="44">
        <v>11.292999999999999</v>
      </c>
      <c r="C12" s="44">
        <v>4233</v>
      </c>
      <c r="D12" s="44">
        <v>22321</v>
      </c>
      <c r="E12" s="44">
        <v>44029</v>
      </c>
      <c r="F12" s="45">
        <v>47</v>
      </c>
      <c r="G12" s="45">
        <v>234</v>
      </c>
      <c r="H12" s="45">
        <v>467</v>
      </c>
      <c r="I12">
        <f t="shared" si="0"/>
        <v>94.6884340016111</v>
      </c>
      <c r="J12">
        <f t="shared" si="1"/>
        <v>-81.316211068366101</v>
      </c>
      <c r="K12">
        <f t="shared" si="2"/>
        <v>0.99988594864472524</v>
      </c>
    </row>
    <row r="14" spans="1:21" x14ac:dyDescent="0.25">
      <c r="A14" s="2" t="s">
        <v>165</v>
      </c>
      <c r="B14" s="2" t="s">
        <v>57</v>
      </c>
      <c r="C14" s="2"/>
      <c r="G14" s="2" t="s">
        <v>165</v>
      </c>
      <c r="H14" s="2" t="s">
        <v>58</v>
      </c>
      <c r="I14" s="2"/>
      <c r="L14" s="2"/>
      <c r="M14" s="2"/>
      <c r="N14" s="2"/>
      <c r="Q14" s="2"/>
      <c r="R14" s="2"/>
    </row>
    <row r="15" spans="1:21" x14ac:dyDescent="0.25">
      <c r="A15" s="2" t="s">
        <v>160</v>
      </c>
      <c r="B15" s="2" t="s">
        <v>166</v>
      </c>
      <c r="C15" s="2" t="s">
        <v>167</v>
      </c>
      <c r="D15" s="2" t="s">
        <v>168</v>
      </c>
      <c r="E15" s="2" t="s">
        <v>169</v>
      </c>
      <c r="F15" s="2" t="s">
        <v>170</v>
      </c>
      <c r="G15" s="2" t="s">
        <v>160</v>
      </c>
      <c r="H15" s="2" t="s">
        <v>166</v>
      </c>
      <c r="I15" s="2" t="s">
        <v>167</v>
      </c>
      <c r="J15" s="2" t="s">
        <v>168</v>
      </c>
      <c r="K15" s="2" t="s">
        <v>169</v>
      </c>
      <c r="L15" s="2" t="s">
        <v>170</v>
      </c>
      <c r="M15" s="2"/>
      <c r="N15" s="2"/>
      <c r="O15" s="2"/>
      <c r="P15" s="2"/>
      <c r="Q15" s="2"/>
      <c r="R15" s="2"/>
      <c r="S15" s="2"/>
      <c r="T15" s="2"/>
      <c r="U15" s="2"/>
    </row>
    <row r="16" spans="1:21" x14ac:dyDescent="0.25">
      <c r="A16" s="2" t="s">
        <v>142</v>
      </c>
      <c r="B16">
        <v>9474</v>
      </c>
      <c r="C16">
        <v>10</v>
      </c>
      <c r="D16">
        <f>IF(B16=0,0,(B16-$J$5)/$I$5)*C16</f>
        <v>2796.3951165647218</v>
      </c>
      <c r="E16">
        <f>1.07*D16/1000</f>
        <v>2.9921427747242522</v>
      </c>
      <c r="F16">
        <f>D16*0.4/1000</f>
        <v>1.1185580466258886</v>
      </c>
      <c r="G16" s="2" t="s">
        <v>142</v>
      </c>
      <c r="H16">
        <v>10026</v>
      </c>
      <c r="I16">
        <v>10</v>
      </c>
      <c r="J16">
        <f>IF(H16=0,0,(H16-$J$5)/$I$5)*I16</f>
        <v>2958.2216935903689</v>
      </c>
      <c r="K16">
        <f>1.07*J16/1000</f>
        <v>3.1652972121416947</v>
      </c>
      <c r="L16">
        <f>J16*0.4/1000</f>
        <v>1.1832886774361475</v>
      </c>
      <c r="Q16" s="2"/>
    </row>
    <row r="17" spans="1:21" x14ac:dyDescent="0.25">
      <c r="A17" s="2" t="s">
        <v>143</v>
      </c>
      <c r="B17">
        <v>1712</v>
      </c>
      <c r="C17">
        <v>10</v>
      </c>
      <c r="D17">
        <f>IF(B17=0,0,(B17-$J$6)/$I$6)*C17</f>
        <v>295.97665954851573</v>
      </c>
      <c r="E17">
        <f>1.51*D17/1000</f>
        <v>0.44692475591825875</v>
      </c>
      <c r="F17">
        <f>D17*0.49/1000</f>
        <v>0.14502856317877272</v>
      </c>
      <c r="G17" s="2" t="s">
        <v>143</v>
      </c>
      <c r="H17">
        <v>2325</v>
      </c>
      <c r="I17">
        <v>10</v>
      </c>
      <c r="J17">
        <f>IF(H17=0,0,(H17-$J$6)/$I$6)*I17</f>
        <v>407.64917869681335</v>
      </c>
      <c r="K17">
        <f>1.51*J17/1000</f>
        <v>0.61555025983218825</v>
      </c>
      <c r="L17">
        <f>J17*0.49/1000</f>
        <v>0.19974809756143852</v>
      </c>
      <c r="Q17" s="2"/>
    </row>
    <row r="18" spans="1:21" x14ac:dyDescent="0.25">
      <c r="A18" s="2" t="s">
        <v>144</v>
      </c>
      <c r="B18">
        <v>1175</v>
      </c>
      <c r="C18">
        <v>10</v>
      </c>
      <c r="D18">
        <f>IF(B18=0,0,(B18-$J$7)/$I$7)*C18</f>
        <v>185.19462960971339</v>
      </c>
      <c r="E18">
        <f>1.82*D18/1000</f>
        <v>0.33705422588967837</v>
      </c>
      <c r="F18">
        <f>D18*0.54/1000</f>
        <v>0.10000509998924524</v>
      </c>
      <c r="G18" s="2" t="s">
        <v>144</v>
      </c>
      <c r="H18">
        <v>1318</v>
      </c>
      <c r="I18">
        <v>10</v>
      </c>
      <c r="J18">
        <f>IF(H18=0,0,(H18-$J$7)/$I$7)*I18</f>
        <v>207.08697108590397</v>
      </c>
      <c r="K18">
        <f>1.82*J18/1000</f>
        <v>0.37689828737634523</v>
      </c>
      <c r="L18">
        <f>J18*0.54/1000</f>
        <v>0.11182696438638816</v>
      </c>
      <c r="Q18" s="2"/>
    </row>
    <row r="19" spans="1:21" x14ac:dyDescent="0.25">
      <c r="A19" s="2" t="s">
        <v>145</v>
      </c>
      <c r="B19">
        <v>1285</v>
      </c>
      <c r="C19">
        <v>10</v>
      </c>
      <c r="D19">
        <f>IF(B19=0,0,(B19-$J$8)/$I$8)*C19</f>
        <v>190.43103377020702</v>
      </c>
      <c r="E19">
        <f>1.82*D19/1000</f>
        <v>0.34658448146177684</v>
      </c>
      <c r="F19">
        <f>D19*0.54/1000</f>
        <v>0.1028327582359118</v>
      </c>
      <c r="G19" s="2" t="s">
        <v>145</v>
      </c>
      <c r="H19">
        <v>1360</v>
      </c>
      <c r="I19">
        <v>10</v>
      </c>
      <c r="J19">
        <f>IF(H19=0,0,(H19-$J$8)/$I$8)*I19</f>
        <v>200.65417023573968</v>
      </c>
      <c r="K19">
        <f>1.82*J19/1000</f>
        <v>0.36519058982904623</v>
      </c>
      <c r="L19">
        <f>J19*0.54/1000</f>
        <v>0.10835325192729944</v>
      </c>
      <c r="Q19" s="2"/>
    </row>
    <row r="20" spans="1:21" x14ac:dyDescent="0.25">
      <c r="A20" s="2" t="s">
        <v>146</v>
      </c>
      <c r="B20">
        <v>2115</v>
      </c>
      <c r="C20">
        <v>10</v>
      </c>
      <c r="D20">
        <f>IF(B20=0,0,(B20-$J$9)/$I$9)*C20</f>
        <v>283.95831682884693</v>
      </c>
      <c r="E20">
        <f>2.04*D20/1000</f>
        <v>0.57927496633084774</v>
      </c>
      <c r="F20">
        <f>D20*0.59/1000</f>
        <v>0.16753540692901966</v>
      </c>
      <c r="G20" s="2" t="s">
        <v>146</v>
      </c>
      <c r="H20">
        <v>2428</v>
      </c>
      <c r="I20">
        <v>10</v>
      </c>
      <c r="J20">
        <f>IF(H20=0,0,(H20-$J$9)/$I$9)*I20</f>
        <v>324.15806827509874</v>
      </c>
      <c r="K20">
        <f>2.04*J20/1000</f>
        <v>0.66128245928120144</v>
      </c>
      <c r="L20">
        <f>J20*0.59/1000</f>
        <v>0.19125326028230824</v>
      </c>
      <c r="Q20" s="2"/>
    </row>
    <row r="21" spans="1:21" x14ac:dyDescent="0.25">
      <c r="A21" s="2" t="s">
        <v>147</v>
      </c>
      <c r="B21">
        <v>0</v>
      </c>
      <c r="C21">
        <v>10</v>
      </c>
      <c r="D21">
        <f>IF(B21=0,0,(B21-$J$10)/$I$10)*C21</f>
        <v>0</v>
      </c>
      <c r="E21">
        <f>2.04*D21/1000</f>
        <v>0</v>
      </c>
      <c r="F21">
        <f>D21*0.59/1000</f>
        <v>0</v>
      </c>
      <c r="G21" s="2" t="s">
        <v>147</v>
      </c>
      <c r="H21">
        <v>0</v>
      </c>
      <c r="I21">
        <v>10</v>
      </c>
      <c r="J21">
        <f>IF(H21=0,0,(H21-$J$10)/$I$10)*I21</f>
        <v>0</v>
      </c>
      <c r="K21">
        <f>2.04*J21/1000</f>
        <v>0</v>
      </c>
      <c r="L21">
        <f>J21*0.59/1000</f>
        <v>0</v>
      </c>
      <c r="Q21" s="2"/>
    </row>
    <row r="22" spans="1:21" x14ac:dyDescent="0.25">
      <c r="A22" s="2" t="s">
        <v>148</v>
      </c>
      <c r="B22">
        <v>714</v>
      </c>
      <c r="C22">
        <v>10</v>
      </c>
      <c r="D22">
        <f>IF(B22=0,0,(B22-$J$11)/$I$11)*1</f>
        <v>10.124752730133485</v>
      </c>
      <c r="E22">
        <f>2.21*D22/1000</f>
        <v>2.2375703533595002E-2</v>
      </c>
      <c r="F22">
        <f>D22*0.62/1000</f>
        <v>6.2773466926827606E-3</v>
      </c>
      <c r="G22" s="2" t="s">
        <v>148</v>
      </c>
      <c r="H22">
        <v>643</v>
      </c>
      <c r="I22">
        <v>10</v>
      </c>
      <c r="J22">
        <f>IF(H22=0,0,(H22-$J$11)/$I$11)*1</f>
        <v>9.3297378579285013</v>
      </c>
      <c r="K22">
        <f>2.21*J22/1000</f>
        <v>2.0618720666021988E-2</v>
      </c>
      <c r="L22">
        <f>J22*0.62/1000</f>
        <v>5.7844374719156705E-3</v>
      </c>
      <c r="Q22" s="2"/>
    </row>
    <row r="23" spans="1:21" x14ac:dyDescent="0.25">
      <c r="A23" s="2" t="s">
        <v>149</v>
      </c>
      <c r="B23">
        <v>326</v>
      </c>
      <c r="C23">
        <v>10</v>
      </c>
      <c r="D23">
        <f>IF(B23=0,0,(B23-$J$12)/$I$12)*1</f>
        <v>4.3016469261856809</v>
      </c>
      <c r="E23">
        <f>2.34*D23/1000</f>
        <v>1.0065853807274493E-2</v>
      </c>
      <c r="F23">
        <f>D23*0.65/1000</f>
        <v>2.7960705020206927E-3</v>
      </c>
      <c r="G23" s="2" t="s">
        <v>149</v>
      </c>
      <c r="H23">
        <v>0</v>
      </c>
      <c r="I23">
        <v>10</v>
      </c>
      <c r="J23">
        <f>IF(H23=0,0,(H23-$J$12)/$I$12)*1</f>
        <v>0</v>
      </c>
      <c r="K23">
        <f>2.34*J23/1000</f>
        <v>0</v>
      </c>
      <c r="L23">
        <f>J23*0.65/1000</f>
        <v>0</v>
      </c>
      <c r="Q23" s="2"/>
    </row>
    <row r="24" spans="1:21" x14ac:dyDescent="0.25">
      <c r="B24" s="2" t="s">
        <v>171</v>
      </c>
      <c r="C24" s="2"/>
      <c r="D24" s="2">
        <f>SUM(D16:D23)</f>
        <v>3766.3821559783237</v>
      </c>
      <c r="E24" s="2">
        <f>SUM(E16:E23)</f>
        <v>4.7344227616656838</v>
      </c>
      <c r="F24" s="2">
        <f>SUM(F16:F23)</f>
        <v>1.6430332921535413</v>
      </c>
      <c r="H24" s="2" t="s">
        <v>171</v>
      </c>
      <c r="I24" s="2"/>
      <c r="J24" s="2">
        <f>SUM(J16:J23)</f>
        <v>4107.099819741853</v>
      </c>
      <c r="K24" s="2">
        <f>SUM(K16:K23)</f>
        <v>5.2048375291264977</v>
      </c>
      <c r="L24" s="2">
        <f>SUM(L16:L23)</f>
        <v>1.8002546890654973</v>
      </c>
      <c r="M24" s="2"/>
      <c r="N24" s="2"/>
      <c r="O24" s="2"/>
      <c r="P24" s="2"/>
      <c r="R24" s="2"/>
      <c r="S24" s="2"/>
      <c r="T24" s="2"/>
      <c r="U24" s="2"/>
    </row>
    <row r="26" spans="1:21" x14ac:dyDescent="0.25">
      <c r="A26" s="2" t="s">
        <v>165</v>
      </c>
      <c r="B26" s="2" t="s">
        <v>60</v>
      </c>
      <c r="C26" s="2"/>
      <c r="G26" s="2" t="s">
        <v>165</v>
      </c>
      <c r="H26" s="2" t="s">
        <v>61</v>
      </c>
      <c r="I26" s="2"/>
      <c r="L26" s="2"/>
      <c r="M26" s="2"/>
      <c r="N26" s="2"/>
      <c r="Q26" s="2"/>
      <c r="R26" s="2"/>
      <c r="S26" s="2"/>
    </row>
    <row r="27" spans="1:21" x14ac:dyDescent="0.25">
      <c r="A27" s="2" t="s">
        <v>160</v>
      </c>
      <c r="B27" s="2" t="s">
        <v>166</v>
      </c>
      <c r="C27" s="2" t="s">
        <v>167</v>
      </c>
      <c r="D27" s="2" t="s">
        <v>168</v>
      </c>
      <c r="E27" s="2" t="s">
        <v>169</v>
      </c>
      <c r="F27" s="2" t="s">
        <v>170</v>
      </c>
      <c r="G27" s="2" t="s">
        <v>160</v>
      </c>
      <c r="H27" s="2" t="s">
        <v>166</v>
      </c>
      <c r="I27" s="2" t="s">
        <v>167</v>
      </c>
      <c r="J27" s="2" t="s">
        <v>168</v>
      </c>
      <c r="K27" s="2" t="s">
        <v>169</v>
      </c>
      <c r="L27" s="2" t="s">
        <v>170</v>
      </c>
      <c r="M27" s="2"/>
      <c r="N27" s="2"/>
      <c r="O27" s="2"/>
      <c r="P27" s="2"/>
      <c r="Q27" s="2"/>
      <c r="R27" s="2"/>
      <c r="S27" s="2"/>
      <c r="T27" s="2"/>
      <c r="U27" s="2"/>
    </row>
    <row r="28" spans="1:21" x14ac:dyDescent="0.25">
      <c r="A28" s="2" t="s">
        <v>142</v>
      </c>
      <c r="B28">
        <v>24438</v>
      </c>
      <c r="C28">
        <v>10</v>
      </c>
      <c r="D28">
        <f t="shared" ref="D28" si="3">IF(B28=0,0,(B28-$J$5)/$I$5)*C28</f>
        <v>7183.302541586072</v>
      </c>
      <c r="E28">
        <f t="shared" ref="E28" si="4">1.07*D28/1000</f>
        <v>7.6861337194970973</v>
      </c>
      <c r="F28">
        <f t="shared" ref="F28" si="5">D28*0.4/1000</f>
        <v>2.8733210166344287</v>
      </c>
      <c r="G28" s="2" t="s">
        <v>142</v>
      </c>
      <c r="H28">
        <v>27795</v>
      </c>
      <c r="I28">
        <v>10</v>
      </c>
      <c r="J28">
        <f t="shared" ref="J28" si="6">IF(H28=0,0,(H28-$J$5)/$I$5)*I28</f>
        <v>8167.4543877366123</v>
      </c>
      <c r="K28">
        <f t="shared" ref="K28" si="7">1.07*J28/1000</f>
        <v>8.7391761948781745</v>
      </c>
      <c r="L28">
        <f t="shared" ref="L28" si="8">J28*0.4/1000</f>
        <v>3.2669817550946449</v>
      </c>
      <c r="Q28" s="2"/>
    </row>
    <row r="29" spans="1:21" x14ac:dyDescent="0.25">
      <c r="A29" s="2" t="s">
        <v>143</v>
      </c>
      <c r="B29">
        <v>13059</v>
      </c>
      <c r="C29">
        <v>10</v>
      </c>
      <c r="D29">
        <f t="shared" ref="D29" si="9">IF(B29=0,0,(B29-$J$6)/$I$6)*C29</f>
        <v>2363.1023932772814</v>
      </c>
      <c r="E29">
        <f t="shared" ref="E29" si="10">1.51*D29/1000</f>
        <v>3.5682846138486948</v>
      </c>
      <c r="F29">
        <f t="shared" ref="F29" si="11">D29*0.49/1000</f>
        <v>1.1579201727058679</v>
      </c>
      <c r="G29" s="2" t="s">
        <v>143</v>
      </c>
      <c r="H29">
        <v>14197</v>
      </c>
      <c r="I29">
        <v>10</v>
      </c>
      <c r="J29">
        <f t="shared" ref="J29" si="12">IF(H29=0,0,(H29-$J$6)/$I$6)*I29</f>
        <v>2570.4161400811358</v>
      </c>
      <c r="K29">
        <f t="shared" ref="K29" si="13">1.51*J29/1000</f>
        <v>3.8813283715225153</v>
      </c>
      <c r="L29">
        <f t="shared" ref="L29" si="14">J29*0.49/1000</f>
        <v>1.2595039086397564</v>
      </c>
      <c r="Q29" s="2"/>
    </row>
    <row r="30" spans="1:21" x14ac:dyDescent="0.25">
      <c r="A30" s="2" t="s">
        <v>144</v>
      </c>
      <c r="B30">
        <v>759</v>
      </c>
      <c r="C30">
        <v>10</v>
      </c>
      <c r="D30">
        <f t="shared" ref="D30" si="15">IF(B30=0,0,(B30-$J$7)/$I$7)*C30</f>
        <v>121.50781804261354</v>
      </c>
      <c r="E30">
        <f t="shared" ref="E30:E31" si="16">1.82*D30/1000</f>
        <v>0.22114422883755666</v>
      </c>
      <c r="F30">
        <f t="shared" ref="F30:F31" si="17">D30*0.54/1000</f>
        <v>6.5614221743011319E-2</v>
      </c>
      <c r="G30" s="2" t="s">
        <v>144</v>
      </c>
      <c r="H30">
        <v>818</v>
      </c>
      <c r="I30">
        <v>10</v>
      </c>
      <c r="J30">
        <f t="shared" ref="J30" si="18">IF(H30=0,0,(H30-$J$7)/$I$7)*I30</f>
        <v>130.54032256775508</v>
      </c>
      <c r="K30">
        <f t="shared" ref="K30:K31" si="19">1.82*J30/1000</f>
        <v>0.23758338707331428</v>
      </c>
      <c r="L30">
        <f t="shared" ref="L30:L31" si="20">J30*0.54/1000</f>
        <v>7.0491774186587752E-2</v>
      </c>
      <c r="Q30" s="2"/>
    </row>
    <row r="31" spans="1:21" x14ac:dyDescent="0.25">
      <c r="A31" s="2" t="s">
        <v>145</v>
      </c>
      <c r="B31">
        <v>4533</v>
      </c>
      <c r="C31">
        <v>10</v>
      </c>
      <c r="D31">
        <f t="shared" ref="D31" si="21">IF(B31=0,0,(B31-$J$8)/$I$8)*C31</f>
        <v>633.16099697087452</v>
      </c>
      <c r="E31">
        <f t="shared" si="16"/>
        <v>1.1523530144869918</v>
      </c>
      <c r="F31">
        <f t="shared" si="17"/>
        <v>0.34190693836427227</v>
      </c>
      <c r="G31" s="2" t="s">
        <v>145</v>
      </c>
      <c r="H31">
        <v>6678</v>
      </c>
      <c r="I31">
        <v>10</v>
      </c>
      <c r="J31">
        <f t="shared" ref="J31" si="22">IF(H31=0,0,(H31-$J$8)/$I$8)*I31</f>
        <v>925.5426998851085</v>
      </c>
      <c r="K31">
        <f t="shared" si="19"/>
        <v>1.6844877137908976</v>
      </c>
      <c r="L31">
        <f t="shared" si="20"/>
        <v>0.49979305793795864</v>
      </c>
      <c r="Q31" s="2"/>
    </row>
    <row r="32" spans="1:21" x14ac:dyDescent="0.25">
      <c r="A32" s="2" t="s">
        <v>146</v>
      </c>
      <c r="B32">
        <v>660</v>
      </c>
      <c r="C32">
        <v>10</v>
      </c>
      <c r="D32">
        <f t="shared" ref="D32" si="23">IF(B32=0,0,(B32-$J$9)/$I$9)*C32</f>
        <v>97.087267773586632</v>
      </c>
      <c r="E32">
        <f t="shared" ref="E32:E33" si="24">2.04*D32/1000</f>
        <v>0.19805802625811675</v>
      </c>
      <c r="F32">
        <f t="shared" ref="F32:F33" si="25">D32*0.59/1000</f>
        <v>5.7281487986416108E-2</v>
      </c>
      <c r="G32" s="2" t="s">
        <v>146</v>
      </c>
      <c r="H32">
        <v>597</v>
      </c>
      <c r="I32">
        <v>10</v>
      </c>
      <c r="J32">
        <f t="shared" ref="J32" si="26">IF(H32=0,0,(H32-$J$9)/$I$9)*I32</f>
        <v>88.995944000059893</v>
      </c>
      <c r="K32">
        <f t="shared" ref="K32:K33" si="27">2.04*J32/1000</f>
        <v>0.18155172576012218</v>
      </c>
      <c r="L32">
        <f t="shared" ref="L32:L33" si="28">J32*0.59/1000</f>
        <v>5.2507606960035334E-2</v>
      </c>
      <c r="Q32" s="2"/>
    </row>
    <row r="33" spans="1:21" x14ac:dyDescent="0.25">
      <c r="A33" s="2" t="s">
        <v>147</v>
      </c>
      <c r="B33">
        <v>1858</v>
      </c>
      <c r="C33">
        <v>10</v>
      </c>
      <c r="D33">
        <f t="shared" ref="D33" si="29">IF(B33=0,0,(B33-$J$10)/$I$10)*C33</f>
        <v>223.26723701068022</v>
      </c>
      <c r="E33">
        <f t="shared" si="24"/>
        <v>0.45546516350178762</v>
      </c>
      <c r="F33">
        <f t="shared" si="25"/>
        <v>0.13172766983630133</v>
      </c>
      <c r="G33" s="2" t="s">
        <v>147</v>
      </c>
      <c r="H33">
        <v>1571</v>
      </c>
      <c r="I33">
        <v>10</v>
      </c>
      <c r="J33">
        <f t="shared" ref="J33" si="30">IF(H33=0,0,(H33-$J$10)/$I$10)*I33</f>
        <v>188.63447578755176</v>
      </c>
      <c r="K33">
        <f t="shared" si="27"/>
        <v>0.38481433060660558</v>
      </c>
      <c r="L33">
        <f t="shared" si="28"/>
        <v>0.11129434071465553</v>
      </c>
      <c r="Q33" s="2"/>
    </row>
    <row r="34" spans="1:21" x14ac:dyDescent="0.25">
      <c r="A34" s="2" t="s">
        <v>148</v>
      </c>
      <c r="B34">
        <v>1267</v>
      </c>
      <c r="C34">
        <v>10</v>
      </c>
      <c r="D34">
        <f t="shared" ref="D34" si="31">IF(B34=0,0,(B34-$J$11)/$I$11)*1</f>
        <v>16.316910819279354</v>
      </c>
      <c r="E34">
        <f t="shared" ref="E34" si="32">2.21*D34/1000</f>
        <v>3.6060372910607368E-2</v>
      </c>
      <c r="F34">
        <f t="shared" ref="F34" si="33">D34*0.62/1000</f>
        <v>1.01164847079532E-2</v>
      </c>
      <c r="G34" s="2" t="s">
        <v>148</v>
      </c>
      <c r="H34">
        <v>1575</v>
      </c>
      <c r="I34">
        <v>10</v>
      </c>
      <c r="J34">
        <f t="shared" ref="J34" si="34">IF(H34=0,0,(H34-$J$11)/$I$11)*1</f>
        <v>19.765707729689709</v>
      </c>
      <c r="K34">
        <f t="shared" ref="K34" si="35">2.21*J34/1000</f>
        <v>4.368221408261426E-2</v>
      </c>
      <c r="L34">
        <f t="shared" ref="L34" si="36">J34*0.62/1000</f>
        <v>1.225473879240762E-2</v>
      </c>
      <c r="Q34" s="2"/>
    </row>
    <row r="35" spans="1:21" x14ac:dyDescent="0.25">
      <c r="A35" s="2" t="s">
        <v>149</v>
      </c>
      <c r="B35">
        <v>217</v>
      </c>
      <c r="C35">
        <v>10</v>
      </c>
      <c r="D35">
        <f t="shared" ref="D35" si="37">IF(B35=0,0,(B35-$J$12)/$I$12)*1</f>
        <v>3.1505031656061639</v>
      </c>
      <c r="E35">
        <f t="shared" ref="E35" si="38">2.34*D35/1000</f>
        <v>7.3721774075184232E-3</v>
      </c>
      <c r="F35">
        <f t="shared" ref="F35" si="39">D35*0.65/1000</f>
        <v>2.0478270576440066E-3</v>
      </c>
      <c r="G35" s="2" t="s">
        <v>149</v>
      </c>
      <c r="H35">
        <v>166</v>
      </c>
      <c r="I35">
        <v>10</v>
      </c>
      <c r="J35">
        <f t="shared" ref="J35" si="40">IF(H35=0,0,(H35-$J$12)/$I$12)*1</f>
        <v>2.611894617078133</v>
      </c>
      <c r="K35">
        <f t="shared" ref="K35" si="41">2.34*J35/1000</f>
        <v>6.1118334039628307E-3</v>
      </c>
      <c r="L35">
        <f t="shared" ref="L35" si="42">J35*0.65/1000</f>
        <v>1.6977315011007866E-3</v>
      </c>
      <c r="Q35" s="2"/>
    </row>
    <row r="36" spans="1:21" x14ac:dyDescent="0.25">
      <c r="B36" s="2" t="s">
        <v>171</v>
      </c>
      <c r="C36" s="2"/>
      <c r="D36" s="2">
        <f t="shared" ref="D36:F36" si="43">SUM(D28:D35)</f>
        <v>10640.895668645993</v>
      </c>
      <c r="E36" s="2">
        <f t="shared" si="43"/>
        <v>13.324871316748371</v>
      </c>
      <c r="F36" s="2">
        <f t="shared" si="43"/>
        <v>4.6399358190358955</v>
      </c>
      <c r="H36" s="2" t="s">
        <v>171</v>
      </c>
      <c r="I36" s="2"/>
      <c r="J36" s="2">
        <f t="shared" ref="J36:L36" si="44">SUM(J28:J35)</f>
        <v>12093.961572404991</v>
      </c>
      <c r="K36" s="2">
        <f t="shared" si="44"/>
        <v>15.158735771118208</v>
      </c>
      <c r="L36" s="2">
        <f t="shared" si="44"/>
        <v>5.2745249138271468</v>
      </c>
      <c r="M36" s="2"/>
      <c r="N36" s="2"/>
      <c r="O36" s="2"/>
      <c r="P36" s="2"/>
      <c r="R36" s="2"/>
      <c r="S36" s="2"/>
      <c r="T36" s="2"/>
      <c r="U36" s="2"/>
    </row>
    <row r="38" spans="1:21" x14ac:dyDescent="0.25">
      <c r="A38" s="2" t="s">
        <v>165</v>
      </c>
      <c r="B38" s="2" t="s">
        <v>63</v>
      </c>
      <c r="C38" s="2"/>
      <c r="G38" s="2" t="s">
        <v>165</v>
      </c>
      <c r="H38" s="2" t="s">
        <v>64</v>
      </c>
      <c r="I38" s="2"/>
      <c r="L38" s="2"/>
      <c r="M38" s="2"/>
      <c r="N38" s="2"/>
      <c r="Q38" s="2"/>
      <c r="R38" s="2"/>
      <c r="S38" s="2"/>
    </row>
    <row r="39" spans="1:21" x14ac:dyDescent="0.25">
      <c r="A39" s="2" t="s">
        <v>160</v>
      </c>
      <c r="B39" s="2" t="s">
        <v>166</v>
      </c>
      <c r="C39" s="2" t="s">
        <v>167</v>
      </c>
      <c r="D39" s="2" t="s">
        <v>168</v>
      </c>
      <c r="E39" s="2" t="s">
        <v>169</v>
      </c>
      <c r="F39" s="2" t="s">
        <v>170</v>
      </c>
      <c r="G39" s="2" t="s">
        <v>160</v>
      </c>
      <c r="H39" s="2" t="s">
        <v>166</v>
      </c>
      <c r="I39" s="2" t="s">
        <v>167</v>
      </c>
      <c r="J39" s="2" t="s">
        <v>168</v>
      </c>
      <c r="K39" s="2" t="s">
        <v>169</v>
      </c>
      <c r="L39" s="2" t="s">
        <v>170</v>
      </c>
      <c r="M39" s="2"/>
      <c r="N39" s="2"/>
      <c r="O39" s="2"/>
      <c r="P39" s="2"/>
      <c r="Q39" s="2"/>
      <c r="R39" s="2"/>
      <c r="S39" s="2"/>
      <c r="T39" s="2"/>
      <c r="U39" s="2"/>
    </row>
    <row r="40" spans="1:21" x14ac:dyDescent="0.25">
      <c r="A40" s="2" t="s">
        <v>142</v>
      </c>
      <c r="B40">
        <v>19547</v>
      </c>
      <c r="C40">
        <v>10</v>
      </c>
      <c r="D40">
        <f t="shared" ref="D40" si="45">IF(B40=0,0,(B40-$J$5)/$I$5)*C40</f>
        <v>5749.4369831939694</v>
      </c>
      <c r="E40">
        <f t="shared" ref="E40" si="46">1.07*D40/1000</f>
        <v>6.1518975720175479</v>
      </c>
      <c r="F40">
        <f t="shared" ref="F40" si="47">D40*0.4/1000</f>
        <v>2.2997747932775878</v>
      </c>
      <c r="G40" s="2" t="s">
        <v>142</v>
      </c>
      <c r="H40">
        <v>21397</v>
      </c>
      <c r="I40">
        <v>10</v>
      </c>
      <c r="J40">
        <f t="shared" ref="J40" si="48">IF(H40=0,0,(H40-$J$5)/$I$5)*I40</f>
        <v>6291.7905475009402</v>
      </c>
      <c r="K40">
        <f t="shared" ref="K40" si="49">1.07*J40/1000</f>
        <v>6.7322158858260064</v>
      </c>
      <c r="L40">
        <f t="shared" ref="L40" si="50">J40*0.4/1000</f>
        <v>2.5167162190003762</v>
      </c>
      <c r="Q40" s="2"/>
    </row>
    <row r="41" spans="1:21" x14ac:dyDescent="0.25">
      <c r="A41" s="2" t="s">
        <v>143</v>
      </c>
      <c r="B41">
        <v>7772</v>
      </c>
      <c r="C41">
        <v>10</v>
      </c>
      <c r="D41">
        <f t="shared" ref="D41" si="51">IF(B41=0,0,(B41-$J$6)/$I$6)*C41</f>
        <v>1399.9496873440844</v>
      </c>
      <c r="E41">
        <f t="shared" ref="E41" si="52">1.51*D41/1000</f>
        <v>2.1139240278895675</v>
      </c>
      <c r="F41">
        <f t="shared" ref="F41" si="53">D41*0.49/1000</f>
        <v>0.68597534679860128</v>
      </c>
      <c r="G41" s="2" t="s">
        <v>143</v>
      </c>
      <c r="H41">
        <v>8421</v>
      </c>
      <c r="I41">
        <v>10</v>
      </c>
      <c r="J41">
        <f t="shared" ref="J41" si="54">IF(H41=0,0,(H41-$J$6)/$I$6)*I41</f>
        <v>1518.1804621030487</v>
      </c>
      <c r="K41">
        <f t="shared" ref="K41" si="55">1.51*J41/1000</f>
        <v>2.2924524977756038</v>
      </c>
      <c r="L41">
        <f t="shared" ref="L41" si="56">J41*0.49/1000</f>
        <v>0.74390842643049382</v>
      </c>
      <c r="Q41" s="2"/>
    </row>
    <row r="42" spans="1:21" x14ac:dyDescent="0.25">
      <c r="A42" s="2" t="s">
        <v>144</v>
      </c>
      <c r="B42">
        <v>422</v>
      </c>
      <c r="C42">
        <v>10</v>
      </c>
      <c r="D42">
        <f t="shared" ref="D42" si="57">IF(B42=0,0,(B42-$J$7)/$I$7)*C42</f>
        <v>69.915376941381183</v>
      </c>
      <c r="E42">
        <f t="shared" ref="E42:E43" si="58">1.82*D42/1000</f>
        <v>0.12724598603331375</v>
      </c>
      <c r="F42">
        <f t="shared" ref="F42:F43" si="59">D42*0.54/1000</f>
        <v>3.7754303548345837E-2</v>
      </c>
      <c r="G42" s="2" t="s">
        <v>144</v>
      </c>
      <c r="H42">
        <v>522</v>
      </c>
      <c r="I42">
        <v>10</v>
      </c>
      <c r="J42">
        <f t="shared" ref="J42" si="60">IF(H42=0,0,(H42-$J$7)/$I$7)*I42</f>
        <v>85.224706645010968</v>
      </c>
      <c r="K42">
        <f t="shared" ref="K42:K43" si="61">1.82*J42/1000</f>
        <v>0.15510896609391997</v>
      </c>
      <c r="L42">
        <f t="shared" ref="L42:L43" si="62">J42*0.54/1000</f>
        <v>4.6021341588305925E-2</v>
      </c>
      <c r="Q42" s="2"/>
    </row>
    <row r="43" spans="1:21" x14ac:dyDescent="0.25">
      <c r="A43" s="2" t="s">
        <v>145</v>
      </c>
      <c r="B43">
        <v>11959</v>
      </c>
      <c r="C43">
        <v>10</v>
      </c>
      <c r="D43">
        <f t="shared" ref="D43" si="63">IF(B43=0,0,(B43-$J$8)/$I$8)*C43</f>
        <v>1645.3878155448147</v>
      </c>
      <c r="E43">
        <f t="shared" si="58"/>
        <v>2.994605824291563</v>
      </c>
      <c r="F43">
        <f t="shared" si="59"/>
        <v>0.8885094203942</v>
      </c>
      <c r="G43" s="2" t="s">
        <v>145</v>
      </c>
      <c r="H43">
        <v>12299</v>
      </c>
      <c r="I43">
        <v>10</v>
      </c>
      <c r="J43">
        <f t="shared" ref="J43" si="64">IF(H43=0,0,(H43-$J$8)/$I$8)*I43</f>
        <v>1691.7327008552293</v>
      </c>
      <c r="K43">
        <f t="shared" si="61"/>
        <v>3.0789535155565173</v>
      </c>
      <c r="L43">
        <f t="shared" si="62"/>
        <v>0.91353565846182394</v>
      </c>
      <c r="Q43" s="2"/>
    </row>
    <row r="44" spans="1:21" x14ac:dyDescent="0.25">
      <c r="A44" s="2" t="s">
        <v>146</v>
      </c>
      <c r="B44">
        <v>376</v>
      </c>
      <c r="C44">
        <v>10</v>
      </c>
      <c r="D44">
        <f t="shared" ref="D44" si="65">IF(B44=0,0,(B44-$J$9)/$I$9)*C44</f>
        <v>60.612093937370872</v>
      </c>
      <c r="E44">
        <f t="shared" ref="E44:E45" si="66">2.04*D44/1000</f>
        <v>0.12364867163223658</v>
      </c>
      <c r="F44">
        <f t="shared" ref="F44:F45" si="67">D44*0.59/1000</f>
        <v>3.5761135423048811E-2</v>
      </c>
      <c r="G44" s="2" t="s">
        <v>146</v>
      </c>
      <c r="H44">
        <v>537</v>
      </c>
      <c r="I44">
        <v>10</v>
      </c>
      <c r="J44">
        <f t="shared" ref="J44" si="68">IF(H44=0,0,(H44-$J$9)/$I$9)*I44</f>
        <v>81.289921358605852</v>
      </c>
      <c r="K44">
        <f t="shared" ref="K44:K45" si="69">2.04*J44/1000</f>
        <v>0.16583143957155594</v>
      </c>
      <c r="L44">
        <f t="shared" ref="L44:L45" si="70">J44*0.59/1000</f>
        <v>4.7961053601577444E-2</v>
      </c>
      <c r="Q44" s="2"/>
    </row>
    <row r="45" spans="1:21" x14ac:dyDescent="0.25">
      <c r="A45" s="2" t="s">
        <v>147</v>
      </c>
      <c r="B45">
        <v>3755</v>
      </c>
      <c r="C45">
        <v>10</v>
      </c>
      <c r="D45">
        <f t="shared" ref="D45" si="71">IF(B45=0,0,(B45-$J$10)/$I$10)*C45</f>
        <v>452.18134168062659</v>
      </c>
      <c r="E45">
        <f t="shared" si="66"/>
        <v>0.92244993702847833</v>
      </c>
      <c r="F45">
        <f t="shared" si="67"/>
        <v>0.26678699159156971</v>
      </c>
      <c r="G45" s="2" t="s">
        <v>147</v>
      </c>
      <c r="H45">
        <v>3989</v>
      </c>
      <c r="I45">
        <v>10</v>
      </c>
      <c r="J45">
        <f t="shared" ref="J45" si="72">IF(H45=0,0,(H45-$J$10)/$I$10)*I45</f>
        <v>480.41850588345608</v>
      </c>
      <c r="K45">
        <f t="shared" si="69"/>
        <v>0.98005375200225042</v>
      </c>
      <c r="L45">
        <f t="shared" si="70"/>
        <v>0.2834469184712391</v>
      </c>
      <c r="Q45" s="2"/>
    </row>
    <row r="46" spans="1:21" x14ac:dyDescent="0.25">
      <c r="A46" s="2" t="s">
        <v>148</v>
      </c>
      <c r="B46">
        <v>8091</v>
      </c>
      <c r="C46">
        <v>10</v>
      </c>
      <c r="D46">
        <f t="shared" ref="D46" si="73">IF(B46=0,0,(B46-$J$11)/$I$11)*1</f>
        <v>92.727917691488031</v>
      </c>
      <c r="E46">
        <f t="shared" ref="E46" si="74">2.21*D46/1000</f>
        <v>0.20492869809818853</v>
      </c>
      <c r="F46">
        <f t="shared" ref="F46" si="75">D46*0.62/1000</f>
        <v>5.7491308968722579E-2</v>
      </c>
      <c r="G46" s="2" t="s">
        <v>148</v>
      </c>
      <c r="H46">
        <v>8340</v>
      </c>
      <c r="I46">
        <v>10</v>
      </c>
      <c r="J46">
        <f t="shared" ref="J46" si="76">IF(H46=0,0,(H46-$J$11)/$I$11)*1</f>
        <v>95.51606844048861</v>
      </c>
      <c r="K46">
        <f t="shared" ref="K46" si="77">2.21*J46/1000</f>
        <v>0.21109051125347983</v>
      </c>
      <c r="L46">
        <f t="shared" ref="L46" si="78">J46*0.62/1000</f>
        <v>5.9219962433102936E-2</v>
      </c>
      <c r="Q46" s="2"/>
    </row>
    <row r="47" spans="1:21" x14ac:dyDescent="0.25">
      <c r="A47" s="2" t="s">
        <v>149</v>
      </c>
      <c r="B47">
        <v>1255</v>
      </c>
      <c r="C47">
        <v>10</v>
      </c>
      <c r="D47">
        <f t="shared" ref="D47" si="79">IF(B47=0,0,(B47-$J$12)/$I$12)*1</f>
        <v>14.11277127094138</v>
      </c>
      <c r="E47">
        <f t="shared" ref="E47" si="80">2.34*D47/1000</f>
        <v>3.302388477400283E-2</v>
      </c>
      <c r="F47">
        <f t="shared" ref="F47" si="81">D47*0.65/1000</f>
        <v>9.1733013261118962E-3</v>
      </c>
      <c r="G47" s="2" t="s">
        <v>149</v>
      </c>
      <c r="H47">
        <v>1359</v>
      </c>
      <c r="I47">
        <v>10</v>
      </c>
      <c r="J47">
        <f t="shared" ref="J47" si="82">IF(H47=0,0,(H47-$J$12)/$I$12)*1</f>
        <v>15.211110271861287</v>
      </c>
      <c r="K47">
        <f t="shared" ref="K47" si="83">2.34*J47/1000</f>
        <v>3.5593998036155414E-2</v>
      </c>
      <c r="L47">
        <f t="shared" ref="L47" si="84">J47*0.65/1000</f>
        <v>9.8872216767098373E-3</v>
      </c>
      <c r="Q47" s="2"/>
    </row>
    <row r="48" spans="1:21" x14ac:dyDescent="0.25">
      <c r="B48" s="2" t="s">
        <v>171</v>
      </c>
      <c r="C48" s="2"/>
      <c r="D48" s="2">
        <f t="shared" ref="D48:F48" si="85">SUM(D40:D47)</f>
        <v>9484.3239876046773</v>
      </c>
      <c r="E48" s="2">
        <f t="shared" si="85"/>
        <v>12.671724601764899</v>
      </c>
      <c r="F48" s="2">
        <f t="shared" si="85"/>
        <v>4.2812266013281874</v>
      </c>
      <c r="H48" s="2" t="s">
        <v>171</v>
      </c>
      <c r="I48" s="2"/>
      <c r="J48" s="2">
        <f t="shared" ref="J48:L48" si="86">SUM(J40:J47)</f>
        <v>10259.364023058641</v>
      </c>
      <c r="K48" s="2">
        <f t="shared" si="86"/>
        <v>13.65130056611549</v>
      </c>
      <c r="L48" s="2">
        <f t="shared" si="86"/>
        <v>4.6206968016636285</v>
      </c>
      <c r="M48" s="2"/>
      <c r="N48" s="2"/>
      <c r="O48" s="2"/>
      <c r="P48" s="2"/>
      <c r="Q48" s="2"/>
      <c r="R48" s="2"/>
      <c r="S48" s="2"/>
      <c r="T48" s="2"/>
      <c r="U48" s="2"/>
    </row>
    <row r="49" spans="1:21" x14ac:dyDescent="0.25">
      <c r="B49" s="2"/>
      <c r="C49" s="2"/>
      <c r="D49" s="2"/>
      <c r="E49" s="2"/>
      <c r="F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x14ac:dyDescent="0.25">
      <c r="A50" s="2" t="s">
        <v>156</v>
      </c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x14ac:dyDescent="0.25">
      <c r="B51" s="2"/>
      <c r="C51" s="2" t="s">
        <v>157</v>
      </c>
      <c r="D51" s="2" t="s">
        <v>158</v>
      </c>
      <c r="E51" s="2" t="s">
        <v>159</v>
      </c>
      <c r="F51" s="2" t="s">
        <v>157</v>
      </c>
      <c r="G51" s="2" t="s">
        <v>158</v>
      </c>
      <c r="H51" s="2" t="s">
        <v>159</v>
      </c>
      <c r="I51" s="2"/>
      <c r="J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x14ac:dyDescent="0.25">
      <c r="A52" s="2" t="s">
        <v>160</v>
      </c>
      <c r="B52" s="2" t="s">
        <v>161</v>
      </c>
      <c r="C52" s="2" t="s">
        <v>162</v>
      </c>
      <c r="D52" s="2" t="s">
        <v>162</v>
      </c>
      <c r="E52" s="2" t="s">
        <v>162</v>
      </c>
      <c r="F52" s="2" t="s">
        <v>163</v>
      </c>
      <c r="G52" s="2" t="s">
        <v>163</v>
      </c>
      <c r="H52" s="2" t="s">
        <v>163</v>
      </c>
      <c r="I52" s="2" t="s">
        <v>94</v>
      </c>
      <c r="J52" s="2" t="s">
        <v>95</v>
      </c>
      <c r="K52" s="2" t="s">
        <v>164</v>
      </c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ht="15.75" x14ac:dyDescent="0.25">
      <c r="A53" s="2" t="s">
        <v>142</v>
      </c>
      <c r="B53" s="44">
        <v>5.7450000000000001</v>
      </c>
      <c r="C53" s="44">
        <v>2061</v>
      </c>
      <c r="D53" s="44">
        <v>9923</v>
      </c>
      <c r="E53" s="44">
        <v>20248</v>
      </c>
      <c r="F53" s="45">
        <v>53</v>
      </c>
      <c r="G53" s="45">
        <v>263</v>
      </c>
      <c r="H53" s="45">
        <v>525</v>
      </c>
      <c r="I53">
        <f>LINEST(C53:E53, F53:H53)</f>
        <v>38.567374406904939</v>
      </c>
      <c r="J53">
        <f>INTERCEPT(C53:E53, F53:H53)</f>
        <v>-67.720625402351288</v>
      </c>
      <c r="K53">
        <f>RSQ(C53:E53,F53:H53)</f>
        <v>0.99978950645382059</v>
      </c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ht="15.75" x14ac:dyDescent="0.25">
      <c r="A54" s="2" t="s">
        <v>143</v>
      </c>
      <c r="B54" s="44">
        <v>6.7140000000000004</v>
      </c>
      <c r="C54" s="44">
        <v>3174</v>
      </c>
      <c r="D54" s="44">
        <v>16058</v>
      </c>
      <c r="E54" s="44">
        <v>32448</v>
      </c>
      <c r="F54" s="45">
        <v>49</v>
      </c>
      <c r="G54" s="45">
        <v>247</v>
      </c>
      <c r="H54" s="45">
        <v>495</v>
      </c>
      <c r="I54">
        <f t="shared" ref="I54:I60" si="87">LINEST(C54:E54, F54:H54)</f>
        <v>65.655474861826818</v>
      </c>
      <c r="J54">
        <f>INTERCEPT(C54:E54, F54:H54)</f>
        <v>-84.493538568338408</v>
      </c>
      <c r="K54">
        <f t="shared" ref="K54:K55" si="88">RSQ(C54:E54,F54:H54)</f>
        <v>0.99998062912335228</v>
      </c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ht="15.75" x14ac:dyDescent="0.25">
      <c r="A55" s="2" t="s">
        <v>144</v>
      </c>
      <c r="B55" s="44">
        <v>7.0510000000000002</v>
      </c>
      <c r="C55" s="44">
        <v>3515</v>
      </c>
      <c r="D55" s="44">
        <v>18059</v>
      </c>
      <c r="E55" s="44">
        <v>36555</v>
      </c>
      <c r="F55" s="45">
        <v>47</v>
      </c>
      <c r="G55" s="45">
        <v>235</v>
      </c>
      <c r="H55" s="45">
        <v>469</v>
      </c>
      <c r="I55">
        <f t="shared" si="87"/>
        <v>78.323897025922491</v>
      </c>
      <c r="J55">
        <f t="shared" ref="J55:J60" si="89">INTERCEPT(C55:E55, F55:H55)</f>
        <v>-230.74888882260348</v>
      </c>
      <c r="K55">
        <f t="shared" si="88"/>
        <v>0.99996281646718699</v>
      </c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15.75" x14ac:dyDescent="0.25">
      <c r="A56" s="2" t="s">
        <v>145</v>
      </c>
      <c r="B56" s="44">
        <v>7.7690000000000001</v>
      </c>
      <c r="C56" s="44">
        <v>3672</v>
      </c>
      <c r="D56" s="44">
        <v>18770</v>
      </c>
      <c r="E56" s="44">
        <v>38415</v>
      </c>
      <c r="F56" s="45">
        <v>45</v>
      </c>
      <c r="G56" s="45">
        <v>227</v>
      </c>
      <c r="H56" s="45">
        <v>453</v>
      </c>
      <c r="I56">
        <f t="shared" si="87"/>
        <v>85.224643347269648</v>
      </c>
      <c r="J56">
        <f t="shared" si="89"/>
        <v>-310.28880892349844</v>
      </c>
      <c r="K56">
        <f>RSQ(C56:E56,F56:H56)</f>
        <v>0.99982485623480899</v>
      </c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ht="15.75" x14ac:dyDescent="0.25">
      <c r="A57" s="2" t="s">
        <v>146</v>
      </c>
      <c r="B57" s="44">
        <v>8.2349999999999994</v>
      </c>
      <c r="C57" s="44">
        <v>3986</v>
      </c>
      <c r="D57" s="44">
        <v>20112</v>
      </c>
      <c r="E57" s="44">
        <v>41044</v>
      </c>
      <c r="F57" s="45">
        <v>46</v>
      </c>
      <c r="G57" s="45">
        <v>228</v>
      </c>
      <c r="H57" s="45">
        <v>455</v>
      </c>
      <c r="I57">
        <f t="shared" si="87"/>
        <v>90.671437757507917</v>
      </c>
      <c r="J57">
        <f t="shared" si="89"/>
        <v>-319.15937507442504</v>
      </c>
      <c r="K57">
        <f t="shared" ref="K57:K60" si="90">RSQ(C57:E57,F57:H57)</f>
        <v>0.99987234083009879</v>
      </c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ht="15.75" x14ac:dyDescent="0.25">
      <c r="A58" s="2" t="s">
        <v>147</v>
      </c>
      <c r="B58" s="44">
        <v>9.0090000000000003</v>
      </c>
      <c r="C58" s="44">
        <v>4177</v>
      </c>
      <c r="D58" s="44">
        <v>20826</v>
      </c>
      <c r="E58" s="44">
        <v>42087</v>
      </c>
      <c r="F58" s="45">
        <v>44</v>
      </c>
      <c r="G58" s="45">
        <v>221</v>
      </c>
      <c r="H58" s="45">
        <v>443</v>
      </c>
      <c r="I58">
        <f t="shared" si="87"/>
        <v>95.044096674923054</v>
      </c>
      <c r="J58">
        <f t="shared" si="89"/>
        <v>-67.073481948511471</v>
      </c>
      <c r="K58">
        <f t="shared" si="90"/>
        <v>0.99997398633453505</v>
      </c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ht="15.75" x14ac:dyDescent="0.25">
      <c r="A59" s="2" t="s">
        <v>148</v>
      </c>
      <c r="B59" s="44">
        <v>10.175000000000001</v>
      </c>
      <c r="C59" s="44">
        <v>4272</v>
      </c>
      <c r="D59" s="44">
        <v>21466</v>
      </c>
      <c r="E59" s="44">
        <v>43426</v>
      </c>
      <c r="F59" s="45">
        <v>44</v>
      </c>
      <c r="G59" s="45">
        <v>222</v>
      </c>
      <c r="H59" s="45">
        <v>444</v>
      </c>
      <c r="I59">
        <f t="shared" si="87"/>
        <v>97.926911457122955</v>
      </c>
      <c r="J59">
        <f t="shared" si="89"/>
        <v>-121.36904485242849</v>
      </c>
      <c r="K59">
        <f t="shared" si="90"/>
        <v>0.99995458727455866</v>
      </c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ht="15.75" x14ac:dyDescent="0.25">
      <c r="A60" s="2" t="s">
        <v>149</v>
      </c>
      <c r="B60" s="44">
        <v>11.29</v>
      </c>
      <c r="C60" s="44">
        <v>4661</v>
      </c>
      <c r="D60" s="44">
        <v>23758</v>
      </c>
      <c r="E60" s="44">
        <v>47830</v>
      </c>
      <c r="F60" s="45">
        <v>47</v>
      </c>
      <c r="G60" s="45">
        <v>234</v>
      </c>
      <c r="H60" s="45">
        <v>467</v>
      </c>
      <c r="I60">
        <f t="shared" si="87"/>
        <v>102.80471508480829</v>
      </c>
      <c r="J60">
        <f t="shared" si="89"/>
        <v>-216.3089611455398</v>
      </c>
      <c r="K60">
        <f t="shared" si="90"/>
        <v>0.9999891816765788</v>
      </c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x14ac:dyDescent="0.25">
      <c r="B61" s="2"/>
      <c r="C61" s="2"/>
      <c r="D61" s="2"/>
      <c r="E61" s="2"/>
      <c r="F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x14ac:dyDescent="0.25">
      <c r="A62" s="2" t="s">
        <v>165</v>
      </c>
      <c r="B62" s="2" t="s">
        <v>66</v>
      </c>
      <c r="C62" s="2"/>
      <c r="G62" s="2" t="s">
        <v>165</v>
      </c>
      <c r="H62" s="2" t="s">
        <v>67</v>
      </c>
      <c r="I62" s="2"/>
      <c r="L62" s="2"/>
      <c r="N62" s="2"/>
    </row>
    <row r="63" spans="1:21" x14ac:dyDescent="0.25">
      <c r="A63" s="2" t="s">
        <v>160</v>
      </c>
      <c r="B63" s="2" t="s">
        <v>166</v>
      </c>
      <c r="C63" s="2" t="s">
        <v>167</v>
      </c>
      <c r="D63" s="2" t="s">
        <v>168</v>
      </c>
      <c r="E63" s="2" t="s">
        <v>169</v>
      </c>
      <c r="F63" s="2" t="s">
        <v>170</v>
      </c>
      <c r="G63" s="2" t="s">
        <v>160</v>
      </c>
      <c r="H63" s="2" t="s">
        <v>166</v>
      </c>
      <c r="I63" s="2" t="s">
        <v>167</v>
      </c>
      <c r="J63" s="2" t="s">
        <v>168</v>
      </c>
      <c r="K63" s="2" t="s">
        <v>169</v>
      </c>
      <c r="L63" s="2" t="s">
        <v>170</v>
      </c>
      <c r="N63" s="2"/>
    </row>
    <row r="64" spans="1:21" x14ac:dyDescent="0.25">
      <c r="A64" s="2" t="s">
        <v>142</v>
      </c>
      <c r="B64">
        <v>9475</v>
      </c>
      <c r="C64">
        <v>10</v>
      </c>
      <c r="D64">
        <f>IF(B64=0,0,(B64-$J$53)/$I$53)*C64</f>
        <v>2474.2987491764184</v>
      </c>
      <c r="E64">
        <f t="shared" ref="E64" si="91">1.07*D64/1000</f>
        <v>2.6474996616187676</v>
      </c>
      <c r="F64">
        <f t="shared" ref="F64" si="92">D64*0.4/1000</f>
        <v>0.98971949967056738</v>
      </c>
      <c r="G64" s="2" t="s">
        <v>142</v>
      </c>
      <c r="H64">
        <v>10339</v>
      </c>
      <c r="I64">
        <v>10</v>
      </c>
      <c r="J64">
        <f>IF(H64=0,0,(H64-$J$53)/$I$53)*I64</f>
        <v>2698.3222958364458</v>
      </c>
      <c r="K64">
        <f>1.07*J64/1000</f>
        <v>2.8872048565449973</v>
      </c>
      <c r="L64">
        <f t="shared" ref="L64" si="93">J64*0.4/1000</f>
        <v>1.0793289183345784</v>
      </c>
    </row>
    <row r="65" spans="1:12" x14ac:dyDescent="0.25">
      <c r="A65" s="2" t="s">
        <v>143</v>
      </c>
      <c r="B65">
        <v>2131</v>
      </c>
      <c r="C65">
        <v>10</v>
      </c>
      <c r="D65">
        <f>IF(B65=0,0,(B65-$J$54)/$I$54)*C65</f>
        <v>337.4423143280718</v>
      </c>
      <c r="E65">
        <f t="shared" ref="E65" si="94">1.51*D65/1000</f>
        <v>0.50953789463538834</v>
      </c>
      <c r="F65">
        <f t="shared" ref="F65" si="95">D65*0.49/1000</f>
        <v>0.16534673402075517</v>
      </c>
      <c r="G65" s="2" t="s">
        <v>143</v>
      </c>
      <c r="H65">
        <v>2045</v>
      </c>
      <c r="I65">
        <v>10</v>
      </c>
      <c r="J65">
        <f>IF(H65=0,0,(H65-$J$54)/$I$54)*I65</f>
        <v>324.34363517283174</v>
      </c>
      <c r="K65">
        <f t="shared" ref="K65" si="96">1.51*J65/1000</f>
        <v>0.48975888911097593</v>
      </c>
      <c r="L65">
        <f t="shared" ref="L65" si="97">J65*0.49/1000</f>
        <v>0.15892838123468755</v>
      </c>
    </row>
    <row r="66" spans="1:12" x14ac:dyDescent="0.25">
      <c r="A66" s="2" t="s">
        <v>144</v>
      </c>
      <c r="B66">
        <v>1315</v>
      </c>
      <c r="C66">
        <v>10</v>
      </c>
      <c r="D66">
        <f>IF(B66=0,0,(B66-$J$55)/$I$55)*C66</f>
        <v>197.35341926500595</v>
      </c>
      <c r="E66">
        <f t="shared" ref="E66:E67" si="98">1.82*D66/1000</f>
        <v>0.35918322306231082</v>
      </c>
      <c r="F66">
        <f t="shared" ref="F66:F67" si="99">D66*0.54/1000</f>
        <v>0.10657084640310321</v>
      </c>
      <c r="G66" s="2" t="s">
        <v>144</v>
      </c>
      <c r="H66">
        <v>1321</v>
      </c>
      <c r="I66">
        <v>10</v>
      </c>
      <c r="J66">
        <f>IF(H66=0,0,(H66-$J$55)/$I$55)*I66</f>
        <v>198.11946899284499</v>
      </c>
      <c r="K66">
        <f t="shared" ref="K66:K67" si="100">1.82*J66/1000</f>
        <v>0.36057743356697791</v>
      </c>
      <c r="L66">
        <f t="shared" ref="L66:L67" si="101">J66*0.54/1000</f>
        <v>0.1069845132561363</v>
      </c>
    </row>
    <row r="67" spans="1:12" x14ac:dyDescent="0.25">
      <c r="A67" s="2" t="s">
        <v>145</v>
      </c>
      <c r="B67">
        <v>1280</v>
      </c>
      <c r="C67">
        <v>10</v>
      </c>
      <c r="D67">
        <f>IF(B67=0,0,(B67-$J$56)/$I$56)*C67</f>
        <v>186.5996437724543</v>
      </c>
      <c r="E67">
        <f t="shared" si="98"/>
        <v>0.33961135166586681</v>
      </c>
      <c r="F67">
        <f t="shared" si="99"/>
        <v>0.10076380763712532</v>
      </c>
      <c r="G67" s="2" t="s">
        <v>145</v>
      </c>
      <c r="H67">
        <v>1393</v>
      </c>
      <c r="I67">
        <v>10</v>
      </c>
      <c r="J67">
        <f>IF(H67=0,0,(H67-$J$56)/$I$56)*I67</f>
        <v>199.85871950006427</v>
      </c>
      <c r="K67">
        <f t="shared" si="100"/>
        <v>0.36374286949011697</v>
      </c>
      <c r="L67">
        <f t="shared" si="101"/>
        <v>0.10792370853003472</v>
      </c>
    </row>
    <row r="68" spans="1:12" x14ac:dyDescent="0.25">
      <c r="A68" s="2" t="s">
        <v>146</v>
      </c>
      <c r="B68">
        <v>2400</v>
      </c>
      <c r="C68">
        <v>10</v>
      </c>
      <c r="D68">
        <f>IF(B68=0,0,(B68-$J$57)/$I$57)*C68</f>
        <v>299.89150302728808</v>
      </c>
      <c r="E68">
        <f t="shared" ref="E68:E69" si="102">2.04*D68/1000</f>
        <v>0.61177866617566767</v>
      </c>
      <c r="F68">
        <f t="shared" ref="F68:F69" si="103">D68*0.59/1000</f>
        <v>0.17693598678609995</v>
      </c>
      <c r="G68" s="2" t="s">
        <v>146</v>
      </c>
      <c r="H68">
        <v>2366</v>
      </c>
      <c r="I68">
        <v>10</v>
      </c>
      <c r="J68">
        <f>IF(H68=0,0,(H68-$J$57)/$I$57)*I68</f>
        <v>296.14170035062494</v>
      </c>
      <c r="K68">
        <f t="shared" ref="K68:K69" si="104">2.04*J68/1000</f>
        <v>0.60412906871527494</v>
      </c>
      <c r="L68">
        <f t="shared" ref="L68:L69" si="105">J68*0.59/1000</f>
        <v>0.17472360320686872</v>
      </c>
    </row>
    <row r="69" spans="1:12" x14ac:dyDescent="0.25">
      <c r="A69" s="2" t="s">
        <v>147</v>
      </c>
      <c r="B69">
        <v>0</v>
      </c>
      <c r="C69">
        <v>10</v>
      </c>
      <c r="D69">
        <f>IF(B69=0,0,(B69-$J$58)/$I$58)*C69</f>
        <v>0</v>
      </c>
      <c r="E69">
        <f t="shared" si="102"/>
        <v>0</v>
      </c>
      <c r="F69">
        <f t="shared" si="103"/>
        <v>0</v>
      </c>
      <c r="G69" s="2" t="s">
        <v>147</v>
      </c>
      <c r="H69">
        <v>0</v>
      </c>
      <c r="I69">
        <v>10</v>
      </c>
      <c r="J69">
        <f>IF(H69=0,0,(H69-$J$58)/$I$58)*I69</f>
        <v>0</v>
      </c>
      <c r="K69">
        <f t="shared" si="104"/>
        <v>0</v>
      </c>
      <c r="L69">
        <f t="shared" si="105"/>
        <v>0</v>
      </c>
    </row>
    <row r="70" spans="1:12" x14ac:dyDescent="0.25">
      <c r="A70" s="2" t="s">
        <v>148</v>
      </c>
      <c r="B70">
        <v>806</v>
      </c>
      <c r="C70">
        <v>10</v>
      </c>
      <c r="D70">
        <f>IF(B70=0,0,(B70-$J$59)/$I$59)*C70</f>
        <v>94.700121861647247</v>
      </c>
      <c r="E70">
        <f t="shared" ref="E70" si="106">2.21*D70/1000</f>
        <v>0.20928726931424041</v>
      </c>
      <c r="F70">
        <f t="shared" ref="F70" si="107">D70*0.62/1000</f>
        <v>5.8714075554221298E-2</v>
      </c>
      <c r="G70" s="2" t="s">
        <v>148</v>
      </c>
      <c r="H70">
        <v>669</v>
      </c>
      <c r="I70">
        <v>10</v>
      </c>
      <c r="J70">
        <f>IF(H70=0,0,(H70-$J$59)/$I$59)*I70</f>
        <v>80.710096243410021</v>
      </c>
      <c r="K70">
        <f t="shared" ref="K70" si="108">2.21*J70/1000</f>
        <v>0.17836931269793616</v>
      </c>
      <c r="L70">
        <f t="shared" ref="L70" si="109">J70*0.62/1000</f>
        <v>5.004025967091421E-2</v>
      </c>
    </row>
    <row r="71" spans="1:12" x14ac:dyDescent="0.25">
      <c r="A71" s="2" t="s">
        <v>149</v>
      </c>
      <c r="B71">
        <v>333</v>
      </c>
      <c r="C71">
        <v>10</v>
      </c>
      <c r="D71">
        <f>IF(B71=0,0,(B71-$J$60)/$I$60)*C71</f>
        <v>53.432273091014338</v>
      </c>
      <c r="E71">
        <f t="shared" ref="E71" si="110">2.34*D71/1000</f>
        <v>0.12503151903297355</v>
      </c>
      <c r="F71">
        <f t="shared" ref="F71" si="111">D71*0.65/1000</f>
        <v>3.4730977509159322E-2</v>
      </c>
      <c r="G71" s="2" t="s">
        <v>149</v>
      </c>
      <c r="H71">
        <v>150</v>
      </c>
      <c r="I71">
        <v>10</v>
      </c>
      <c r="J71">
        <f>IF(H71=0,0,(H71-$J$60)/$I$60)*I71</f>
        <v>35.631533129910899</v>
      </c>
      <c r="K71">
        <f t="shared" ref="K71" si="112">2.34*J71/1000</f>
        <v>8.3377787523991498E-2</v>
      </c>
      <c r="L71">
        <f t="shared" ref="L71" si="113">J71*0.65/1000</f>
        <v>2.3160496534442087E-2</v>
      </c>
    </row>
    <row r="72" spans="1:12" x14ac:dyDescent="0.25">
      <c r="B72" s="2" t="s">
        <v>171</v>
      </c>
      <c r="C72" s="2"/>
      <c r="D72" s="2">
        <f t="shared" ref="D72:F72" si="114">SUM(D64:D71)</f>
        <v>3643.7180245219001</v>
      </c>
      <c r="E72" s="2">
        <f t="shared" si="114"/>
        <v>4.8019295855052144</v>
      </c>
      <c r="F72" s="2">
        <f t="shared" si="114"/>
        <v>1.6327819275810316</v>
      </c>
      <c r="H72" s="2" t="s">
        <v>171</v>
      </c>
      <c r="I72" s="2"/>
      <c r="J72" s="2">
        <f t="shared" ref="J72:L72" si="115">SUM(J64:J71)</f>
        <v>3833.1274492261327</v>
      </c>
      <c r="K72" s="2">
        <f t="shared" si="115"/>
        <v>4.96716021765027</v>
      </c>
      <c r="L72" s="2">
        <f t="shared" si="115"/>
        <v>1.7010898807676618</v>
      </c>
    </row>
    <row r="74" spans="1:12" x14ac:dyDescent="0.25">
      <c r="A74" s="2" t="s">
        <v>165</v>
      </c>
      <c r="B74" s="2" t="s">
        <v>69</v>
      </c>
      <c r="C74" s="2"/>
      <c r="G74" s="2" t="s">
        <v>165</v>
      </c>
      <c r="H74" s="2" t="s">
        <v>70</v>
      </c>
      <c r="I74" s="2"/>
      <c r="L74" s="2"/>
    </row>
    <row r="75" spans="1:12" x14ac:dyDescent="0.25">
      <c r="A75" s="2" t="s">
        <v>160</v>
      </c>
      <c r="B75" s="2" t="s">
        <v>166</v>
      </c>
      <c r="C75" s="2" t="s">
        <v>167</v>
      </c>
      <c r="D75" s="2" t="s">
        <v>168</v>
      </c>
      <c r="E75" s="2" t="s">
        <v>169</v>
      </c>
      <c r="F75" s="2" t="s">
        <v>170</v>
      </c>
      <c r="G75" s="2" t="s">
        <v>160</v>
      </c>
      <c r="H75" s="2" t="s">
        <v>166</v>
      </c>
      <c r="I75" s="2" t="s">
        <v>167</v>
      </c>
      <c r="J75" s="2" t="s">
        <v>168</v>
      </c>
      <c r="K75" s="2" t="s">
        <v>169</v>
      </c>
      <c r="L75" s="2" t="s">
        <v>170</v>
      </c>
    </row>
    <row r="76" spans="1:12" x14ac:dyDescent="0.25">
      <c r="A76" s="2" t="s">
        <v>142</v>
      </c>
      <c r="B76">
        <v>25614</v>
      </c>
      <c r="C76">
        <v>10</v>
      </c>
      <c r="D76">
        <f>IF(B76=0,0,(B76-$J$53)/$I$53)*C76</f>
        <v>6658.9237717993074</v>
      </c>
      <c r="E76">
        <f t="shared" ref="E76" si="116">1.07*D76/1000</f>
        <v>7.1250484358252599</v>
      </c>
      <c r="F76">
        <f t="shared" ref="F76" si="117">D76*0.4/1000</f>
        <v>2.6635695087197231</v>
      </c>
      <c r="G76" s="2" t="s">
        <v>142</v>
      </c>
      <c r="H76">
        <v>26427</v>
      </c>
      <c r="I76">
        <v>10</v>
      </c>
      <c r="J76">
        <f>IF(H76=0,0,(H76-$J$53)/$I$53)*I76</f>
        <v>6869.7237063300963</v>
      </c>
      <c r="K76">
        <f t="shared" ref="K76" si="118">1.07*J76/1000</f>
        <v>7.3506043657732034</v>
      </c>
      <c r="L76">
        <f t="shared" ref="L76" si="119">J76*0.4/1000</f>
        <v>2.7478894825320386</v>
      </c>
    </row>
    <row r="77" spans="1:12" x14ac:dyDescent="0.25">
      <c r="A77" s="2" t="s">
        <v>143</v>
      </c>
      <c r="B77">
        <v>14947</v>
      </c>
      <c r="C77">
        <v>10</v>
      </c>
      <c r="D77">
        <f>IF(B77=0,0,(B77-$J$54)/$I$54)*C77</f>
        <v>2289.4501289043146</v>
      </c>
      <c r="E77">
        <f t="shared" ref="E77" si="120">1.51*D77/1000</f>
        <v>3.4570696946455151</v>
      </c>
      <c r="F77">
        <f t="shared" ref="F77" si="121">D77*0.49/1000</f>
        <v>1.1218305631631142</v>
      </c>
      <c r="G77" s="2" t="s">
        <v>143</v>
      </c>
      <c r="H77">
        <v>14015</v>
      </c>
      <c r="I77">
        <v>10</v>
      </c>
      <c r="J77">
        <f>IF(H77=0,0,(H77-$J$54)/$I$54)*I77</f>
        <v>2147.4970013149682</v>
      </c>
      <c r="K77">
        <f t="shared" ref="K77" si="122">1.51*J77/1000</f>
        <v>3.2427204719856024</v>
      </c>
      <c r="L77">
        <f t="shared" ref="L77" si="123">J77*0.49/1000</f>
        <v>1.0522735306443345</v>
      </c>
    </row>
    <row r="78" spans="1:12" x14ac:dyDescent="0.25">
      <c r="A78" s="2" t="s">
        <v>144</v>
      </c>
      <c r="B78">
        <v>902</v>
      </c>
      <c r="C78">
        <v>10</v>
      </c>
      <c r="D78">
        <f>IF(B78=0,0,(B78-$J$55)/$I$55)*C78</f>
        <v>144.62366299875285</v>
      </c>
      <c r="E78">
        <f t="shared" ref="E78:E79" si="124">1.82*D78/1000</f>
        <v>0.2632150666577302</v>
      </c>
      <c r="F78">
        <f t="shared" ref="F78:F79" si="125">D78*0.54/1000</f>
        <v>7.8096778019326546E-2</v>
      </c>
      <c r="G78" s="2" t="s">
        <v>144</v>
      </c>
      <c r="H78">
        <v>845</v>
      </c>
      <c r="I78">
        <v>10</v>
      </c>
      <c r="J78">
        <f>IF(H78=0,0,(H78-$J$55)/$I$55)*I78</f>
        <v>137.34619058428208</v>
      </c>
      <c r="K78">
        <f t="shared" ref="K78:K79" si="126">1.82*J78/1000</f>
        <v>0.2499700668633934</v>
      </c>
      <c r="L78">
        <f t="shared" ref="L78:L79" si="127">J78*0.54/1000</f>
        <v>7.4166942915512332E-2</v>
      </c>
    </row>
    <row r="79" spans="1:12" x14ac:dyDescent="0.25">
      <c r="A79" s="2" t="s">
        <v>145</v>
      </c>
      <c r="B79">
        <v>7000</v>
      </c>
      <c r="C79">
        <v>10</v>
      </c>
      <c r="D79">
        <f>IF(B79=0,0,(B79-$J$56)/$I$56)*C79</f>
        <v>857.76701688687081</v>
      </c>
      <c r="E79">
        <f t="shared" si="124"/>
        <v>1.5611359707341048</v>
      </c>
      <c r="F79">
        <f t="shared" si="125"/>
        <v>0.4631941891189103</v>
      </c>
      <c r="G79" s="2" t="s">
        <v>145</v>
      </c>
      <c r="H79">
        <v>9446</v>
      </c>
      <c r="I79">
        <v>10</v>
      </c>
      <c r="J79">
        <f>IF(H79=0,0,(H79-$J$56)/$I$56)*I79</f>
        <v>1144.773204760623</v>
      </c>
      <c r="K79">
        <f t="shared" si="126"/>
        <v>2.0834872326643339</v>
      </c>
      <c r="L79">
        <f t="shared" si="127"/>
        <v>0.61817753057073654</v>
      </c>
    </row>
    <row r="80" spans="1:12" x14ac:dyDescent="0.25">
      <c r="A80" s="2" t="s">
        <v>146</v>
      </c>
      <c r="B80">
        <v>683</v>
      </c>
      <c r="C80">
        <v>10</v>
      </c>
      <c r="D80">
        <f>IF(B80=0,0,(B80-$J$57)/$I$57)*C80</f>
        <v>110.52646785579869</v>
      </c>
      <c r="E80">
        <f t="shared" ref="E80:E81" si="128">2.04*D80/1000</f>
        <v>0.22547399442582933</v>
      </c>
      <c r="F80">
        <f t="shared" ref="F80:F81" si="129">D80*0.59/1000</f>
        <v>6.5210616034921218E-2</v>
      </c>
      <c r="G80" s="2" t="s">
        <v>146</v>
      </c>
      <c r="H80">
        <v>689</v>
      </c>
      <c r="I80">
        <v>10</v>
      </c>
      <c r="J80">
        <f>IF(H80=0,0,(H80-$J$57)/$I$57)*I80</f>
        <v>111.18819773991572</v>
      </c>
      <c r="K80">
        <f t="shared" ref="K80:K81" si="130">2.04*J80/1000</f>
        <v>0.22682392338942808</v>
      </c>
      <c r="L80">
        <f t="shared" ref="L80:L81" si="131">J80*0.59/1000</f>
        <v>6.5601036666550275E-2</v>
      </c>
    </row>
    <row r="81" spans="1:12" x14ac:dyDescent="0.25">
      <c r="A81" s="2" t="s">
        <v>147</v>
      </c>
      <c r="B81">
        <v>1188</v>
      </c>
      <c r="C81">
        <v>10</v>
      </c>
      <c r="D81">
        <f>IF(B81=0,0,(B81-$J$58)/$I$58)*C81</f>
        <v>132.05170293124127</v>
      </c>
      <c r="E81">
        <f t="shared" si="128"/>
        <v>0.26938547397973217</v>
      </c>
      <c r="F81">
        <f t="shared" si="129"/>
        <v>7.7910504729432353E-2</v>
      </c>
      <c r="G81" s="2" t="s">
        <v>147</v>
      </c>
      <c r="H81">
        <v>1228</v>
      </c>
      <c r="I81">
        <v>10</v>
      </c>
      <c r="J81">
        <f>IF(H81=0,0,(H81-$J$58)/$I$58)*I81</f>
        <v>136.26027573054</v>
      </c>
      <c r="K81">
        <f t="shared" si="130"/>
        <v>0.27797096249030157</v>
      </c>
      <c r="L81">
        <f t="shared" si="131"/>
        <v>8.039356268101859E-2</v>
      </c>
    </row>
    <row r="82" spans="1:12" x14ac:dyDescent="0.25">
      <c r="A82" s="2" t="s">
        <v>148</v>
      </c>
      <c r="B82">
        <v>989</v>
      </c>
      <c r="C82">
        <v>10</v>
      </c>
      <c r="D82">
        <f>IF(B82=0,0,(B82-$J$59)/$I$59)*C82</f>
        <v>113.38752834440211</v>
      </c>
      <c r="E82">
        <f t="shared" ref="E82" si="132">2.21*D82/1000</f>
        <v>0.25058643764112865</v>
      </c>
      <c r="F82">
        <f t="shared" ref="F82" si="133">D82*0.62/1000</f>
        <v>7.0300267573529307E-2</v>
      </c>
      <c r="G82" s="2" t="s">
        <v>148</v>
      </c>
      <c r="H82">
        <v>841</v>
      </c>
      <c r="I82">
        <v>10</v>
      </c>
      <c r="J82">
        <f>IF(H82=0,0,(H82-$J$59)/$I$59)*I82</f>
        <v>98.274215997693261</v>
      </c>
      <c r="K82">
        <f t="shared" ref="K82" si="134">2.21*J82/1000</f>
        <v>0.21718601735490212</v>
      </c>
      <c r="L82">
        <f t="shared" ref="L82" si="135">J82*0.62/1000</f>
        <v>6.0930013918569823E-2</v>
      </c>
    </row>
    <row r="83" spans="1:12" x14ac:dyDescent="0.25">
      <c r="A83" s="2" t="s">
        <v>149</v>
      </c>
      <c r="B83">
        <v>108</v>
      </c>
      <c r="C83">
        <v>10</v>
      </c>
      <c r="D83">
        <f>IF(B83=0,0,(B83-$J$60)/$I$60)*C83</f>
        <v>31.546117401133067</v>
      </c>
      <c r="E83">
        <f t="shared" ref="E83" si="136">2.34*D83/1000</f>
        <v>7.3817914718651373E-2</v>
      </c>
      <c r="F83">
        <f t="shared" ref="F83" si="137">D83*0.65/1000</f>
        <v>2.0504976310736497E-2</v>
      </c>
      <c r="G83" s="2" t="s">
        <v>149</v>
      </c>
      <c r="H83">
        <v>0</v>
      </c>
      <c r="I83">
        <v>10</v>
      </c>
      <c r="J83">
        <f>IF(H83=0,0,(H83-$J$60)/$I$60)*I83</f>
        <v>0</v>
      </c>
      <c r="K83">
        <f t="shared" ref="K83" si="138">2.34*J83/1000</f>
        <v>0</v>
      </c>
      <c r="L83">
        <f t="shared" ref="L83" si="139">J83*0.65/1000</f>
        <v>0</v>
      </c>
    </row>
    <row r="84" spans="1:12" x14ac:dyDescent="0.25">
      <c r="B84" s="2" t="s">
        <v>171</v>
      </c>
      <c r="C84" s="2"/>
      <c r="D84" s="2">
        <f t="shared" ref="D84:F84" si="140">SUM(D76:D83)</f>
        <v>10338.276397121819</v>
      </c>
      <c r="E84" s="2">
        <f t="shared" si="140"/>
        <v>13.225732988627952</v>
      </c>
      <c r="F84" s="2">
        <f t="shared" si="140"/>
        <v>4.5606174036696938</v>
      </c>
      <c r="H84" s="2" t="s">
        <v>171</v>
      </c>
      <c r="I84" s="2"/>
      <c r="J84" s="2">
        <f t="shared" ref="J84:L84" si="141">SUM(J76:J83)</f>
        <v>10645.062792458117</v>
      </c>
      <c r="K84" s="2">
        <f t="shared" si="141"/>
        <v>13.648763040521166</v>
      </c>
      <c r="L84" s="2">
        <f t="shared" si="141"/>
        <v>4.6994320999287611</v>
      </c>
    </row>
    <row r="86" spans="1:12" x14ac:dyDescent="0.25">
      <c r="A86" s="2" t="s">
        <v>165</v>
      </c>
      <c r="B86" s="2" t="s">
        <v>72</v>
      </c>
      <c r="C86" s="2"/>
      <c r="G86" s="2" t="s">
        <v>165</v>
      </c>
      <c r="H86" s="2" t="s">
        <v>73</v>
      </c>
      <c r="I86" s="2"/>
      <c r="L86" s="2"/>
    </row>
    <row r="87" spans="1:12" x14ac:dyDescent="0.25">
      <c r="A87" s="2" t="s">
        <v>160</v>
      </c>
      <c r="B87" s="2" t="s">
        <v>166</v>
      </c>
      <c r="C87" s="2" t="s">
        <v>167</v>
      </c>
      <c r="D87" s="2" t="s">
        <v>168</v>
      </c>
      <c r="E87" s="2" t="s">
        <v>169</v>
      </c>
      <c r="F87" s="2" t="s">
        <v>170</v>
      </c>
      <c r="G87" s="2" t="s">
        <v>160</v>
      </c>
      <c r="H87" s="2" t="s">
        <v>166</v>
      </c>
      <c r="I87" s="2" t="s">
        <v>167</v>
      </c>
      <c r="J87" s="2" t="s">
        <v>168</v>
      </c>
      <c r="K87" s="2" t="s">
        <v>169</v>
      </c>
      <c r="L87" s="2" t="s">
        <v>170</v>
      </c>
    </row>
    <row r="88" spans="1:12" x14ac:dyDescent="0.25">
      <c r="A88" s="2" t="s">
        <v>142</v>
      </c>
      <c r="B88">
        <v>22416</v>
      </c>
      <c r="C88">
        <v>10</v>
      </c>
      <c r="D88">
        <f>IF(B88=0,0,(B88-$J$53)/$I$53)*C88</f>
        <v>5829.7255053424024</v>
      </c>
      <c r="E88">
        <f t="shared" ref="E88" si="142">1.07*D88/1000</f>
        <v>6.2378062907163709</v>
      </c>
      <c r="F88">
        <f t="shared" ref="F88" si="143">D88*0.4/1000</f>
        <v>2.331890202136961</v>
      </c>
      <c r="G88" s="2" t="s">
        <v>142</v>
      </c>
      <c r="H88">
        <v>23571</v>
      </c>
      <c r="I88">
        <v>10</v>
      </c>
      <c r="J88">
        <f>IF(H88=0,0,(H88-$J$53)/$I$53)*I88</f>
        <v>6129.2014270927848</v>
      </c>
      <c r="K88">
        <f t="shared" ref="K88" si="144">1.07*J88/1000</f>
        <v>6.5582455269892801</v>
      </c>
      <c r="L88">
        <f t="shared" ref="L88" si="145">J88*0.4/1000</f>
        <v>2.4516805708371141</v>
      </c>
    </row>
    <row r="89" spans="1:12" x14ac:dyDescent="0.25">
      <c r="A89" s="2" t="s">
        <v>143</v>
      </c>
      <c r="B89">
        <v>8418</v>
      </c>
      <c r="C89">
        <v>10</v>
      </c>
      <c r="D89">
        <f>IF(B89=0,0,(B89-$J$54)/$I$54)*C89</f>
        <v>1295.0166846652157</v>
      </c>
      <c r="E89">
        <f t="shared" ref="E89" si="146">1.51*D89/1000</f>
        <v>1.9554751938444759</v>
      </c>
      <c r="F89">
        <f t="shared" ref="F89" si="147">D89*0.49/1000</f>
        <v>0.63455817548595561</v>
      </c>
      <c r="G89" s="2" t="s">
        <v>143</v>
      </c>
      <c r="H89">
        <v>9435</v>
      </c>
      <c r="I89">
        <v>10</v>
      </c>
      <c r="J89">
        <f>IF(H89=0,0,(H89-$J$54)/$I$54)*I89</f>
        <v>1449.9161811870663</v>
      </c>
      <c r="K89">
        <f t="shared" ref="K89" si="148">1.51*J89/1000</f>
        <v>2.1893734335924702</v>
      </c>
      <c r="L89">
        <f t="shared" ref="L89" si="149">J89*0.49/1000</f>
        <v>0.7104589287816625</v>
      </c>
    </row>
    <row r="90" spans="1:12" x14ac:dyDescent="0.25">
      <c r="A90" s="2" t="s">
        <v>144</v>
      </c>
      <c r="B90">
        <v>419</v>
      </c>
      <c r="C90">
        <v>10</v>
      </c>
      <c r="D90">
        <f>IF(B90=0,0,(B90-$J$55)/$I$55)*C90</f>
        <v>82.956659907711071</v>
      </c>
      <c r="E90">
        <f t="shared" ref="E90:E91" si="150">1.82*D90/1000</f>
        <v>0.15098112103203418</v>
      </c>
      <c r="F90">
        <f t="shared" ref="F90:F91" si="151">D90*0.54/1000</f>
        <v>4.4796596350163982E-2</v>
      </c>
      <c r="G90" s="2" t="s">
        <v>144</v>
      </c>
      <c r="H90">
        <v>530</v>
      </c>
      <c r="I90">
        <v>10</v>
      </c>
      <c r="J90">
        <f>IF(H90=0,0,(H90-$J$55)/$I$55)*I90</f>
        <v>97.128579872733098</v>
      </c>
      <c r="K90">
        <f t="shared" ref="K90:K91" si="152">1.82*J90/1000</f>
        <v>0.17677401536837425</v>
      </c>
      <c r="L90">
        <f t="shared" ref="L90:L91" si="153">J90*0.54/1000</f>
        <v>5.2449433131275876E-2</v>
      </c>
    </row>
    <row r="91" spans="1:12" x14ac:dyDescent="0.25">
      <c r="A91" s="2" t="s">
        <v>145</v>
      </c>
      <c r="B91">
        <v>11590</v>
      </c>
      <c r="C91">
        <v>10</v>
      </c>
      <c r="D91">
        <f>IF(B91=0,0,(B91-$J$56)/$I$56)*C91</f>
        <v>1396.3436327251875</v>
      </c>
      <c r="E91">
        <f t="shared" si="150"/>
        <v>2.5413454115598415</v>
      </c>
      <c r="F91">
        <f t="shared" si="151"/>
        <v>0.75402556167160129</v>
      </c>
      <c r="G91" s="2" t="s">
        <v>145</v>
      </c>
      <c r="H91">
        <v>12007</v>
      </c>
      <c r="I91">
        <v>10</v>
      </c>
      <c r="J91">
        <f>IF(H91=0,0,(H91-$J$56)/$I$56)*I91</f>
        <v>1445.2731422686684</v>
      </c>
      <c r="K91">
        <f t="shared" si="152"/>
        <v>2.6303971189289763</v>
      </c>
      <c r="L91">
        <f t="shared" si="153"/>
        <v>0.78044749682508097</v>
      </c>
    </row>
    <row r="92" spans="1:12" x14ac:dyDescent="0.25">
      <c r="A92" s="2" t="s">
        <v>146</v>
      </c>
      <c r="B92">
        <v>323</v>
      </c>
      <c r="C92">
        <v>10</v>
      </c>
      <c r="D92">
        <f>IF(B92=0,0,(B92-$J$57)/$I$57)*C92</f>
        <v>70.822674808777023</v>
      </c>
      <c r="E92">
        <f t="shared" ref="E92:E93" si="154">2.04*D92/1000</f>
        <v>0.14447825660990513</v>
      </c>
      <c r="F92">
        <f t="shared" ref="F92:F93" si="155">D92*0.59/1000</f>
        <v>4.178537813717844E-2</v>
      </c>
      <c r="G92" s="2" t="s">
        <v>146</v>
      </c>
      <c r="H92">
        <v>399</v>
      </c>
      <c r="I92">
        <v>10</v>
      </c>
      <c r="J92">
        <f>IF(H92=0,0,(H92-$J$57)/$I$57)*I92</f>
        <v>79.204586674259389</v>
      </c>
      <c r="K92">
        <f t="shared" ref="K92:K93" si="156">2.04*J92/1000</f>
        <v>0.16157735681548918</v>
      </c>
      <c r="L92">
        <f t="shared" ref="L92:L93" si="157">J92*0.59/1000</f>
        <v>4.6730706137813036E-2</v>
      </c>
    </row>
    <row r="93" spans="1:12" x14ac:dyDescent="0.25">
      <c r="A93" s="2" t="s">
        <v>147</v>
      </c>
      <c r="B93">
        <v>4027</v>
      </c>
      <c r="C93">
        <v>10</v>
      </c>
      <c r="D93">
        <f>IF(B93=0,0,(B93-$J$58)/$I$58)*C93</f>
        <v>430.7551573614686</v>
      </c>
      <c r="E93">
        <f t="shared" si="154"/>
        <v>0.87874052101739597</v>
      </c>
      <c r="F93">
        <f t="shared" si="155"/>
        <v>0.25414554284326646</v>
      </c>
      <c r="G93" s="2" t="s">
        <v>147</v>
      </c>
      <c r="H93">
        <v>4291</v>
      </c>
      <c r="I93">
        <v>10</v>
      </c>
      <c r="J93">
        <f>IF(H93=0,0,(H93-$J$58)/$I$58)*I93</f>
        <v>458.53173783684019</v>
      </c>
      <c r="K93">
        <f t="shared" si="156"/>
        <v>0.935404745187154</v>
      </c>
      <c r="L93">
        <f t="shared" si="157"/>
        <v>0.27053372532373571</v>
      </c>
    </row>
    <row r="94" spans="1:12" x14ac:dyDescent="0.25">
      <c r="A94" s="2" t="s">
        <v>148</v>
      </c>
      <c r="B94">
        <v>7512</v>
      </c>
      <c r="C94">
        <v>10</v>
      </c>
      <c r="D94">
        <f>IF(B94=0,0,(B94-$J$59)/$I$59)*C94</f>
        <v>779.49655832806286</v>
      </c>
      <c r="E94">
        <f t="shared" ref="E94" si="158">2.21*D94/1000</f>
        <v>1.7226873939050189</v>
      </c>
      <c r="F94">
        <f t="shared" ref="F94" si="159">D94*0.62/1000</f>
        <v>0.48328786616339897</v>
      </c>
      <c r="G94" s="2" t="s">
        <v>148</v>
      </c>
      <c r="H94">
        <v>7417</v>
      </c>
      <c r="I94">
        <v>10</v>
      </c>
      <c r="J94">
        <f>IF(H94=0,0,(H94-$J$59)/$I$59)*I94</f>
        <v>769.79544567308085</v>
      </c>
      <c r="K94">
        <f t="shared" ref="K94" si="160">2.21*J94/1000</f>
        <v>1.7012479349375087</v>
      </c>
      <c r="L94">
        <f t="shared" ref="L94" si="161">J94*0.62/1000</f>
        <v>0.47727317631731014</v>
      </c>
    </row>
    <row r="95" spans="1:12" x14ac:dyDescent="0.25">
      <c r="A95" s="2" t="s">
        <v>149</v>
      </c>
      <c r="B95">
        <v>1405</v>
      </c>
      <c r="C95">
        <v>10</v>
      </c>
      <c r="D95">
        <f>IF(B95=0,0,(B95-$J$60)/$I$60)*C95</f>
        <v>157.70764597791532</v>
      </c>
      <c r="E95">
        <f t="shared" ref="E95" si="162">2.34*D95/1000</f>
        <v>0.36903589158832184</v>
      </c>
      <c r="F95">
        <f t="shared" ref="F95" si="163">D95*0.65/1000</f>
        <v>0.10250996988564497</v>
      </c>
      <c r="G95" s="2" t="s">
        <v>149</v>
      </c>
      <c r="H95">
        <v>1559</v>
      </c>
      <c r="I95">
        <v>10</v>
      </c>
      <c r="J95">
        <f>IF(H95=0,0,(H95-$J$60)/$I$60)*I95</f>
        <v>172.68750365010075</v>
      </c>
      <c r="K95">
        <f t="shared" ref="K95" si="164">2.34*J95/1000</f>
        <v>0.40408875854123572</v>
      </c>
      <c r="L95">
        <f t="shared" ref="L95" si="165">J95*0.65/1000</f>
        <v>0.11224687737256549</v>
      </c>
    </row>
    <row r="96" spans="1:12" x14ac:dyDescent="0.25">
      <c r="B96" s="2" t="s">
        <v>171</v>
      </c>
      <c r="C96" s="2"/>
      <c r="D96" s="2">
        <f t="shared" ref="D96:F96" si="166">SUM(D88:D95)</f>
        <v>10042.824519116739</v>
      </c>
      <c r="E96" s="2">
        <f t="shared" si="166"/>
        <v>14.000550080273364</v>
      </c>
      <c r="F96" s="2">
        <f t="shared" si="166"/>
        <v>4.6469992926741703</v>
      </c>
      <c r="H96" s="2" t="s">
        <v>171</v>
      </c>
      <c r="I96" s="2"/>
      <c r="J96" s="2">
        <f t="shared" ref="J96:L96" si="167">SUM(J88:J95)</f>
        <v>10601.738604255532</v>
      </c>
      <c r="K96" s="2">
        <f t="shared" si="167"/>
        <v>14.75710889036049</v>
      </c>
      <c r="L96" s="2">
        <f t="shared" si="167"/>
        <v>4.9018209147265583</v>
      </c>
    </row>
    <row r="98" spans="1:12" x14ac:dyDescent="0.25">
      <c r="A98" s="2"/>
      <c r="B98" s="2"/>
      <c r="C98" s="2"/>
      <c r="G98" s="2"/>
      <c r="H98" s="2"/>
      <c r="I98" s="2"/>
      <c r="L98" s="2"/>
    </row>
    <row r="99" spans="1:12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 x14ac:dyDescent="0.25">
      <c r="A100" s="2"/>
      <c r="G100" s="2"/>
    </row>
    <row r="101" spans="1:12" x14ac:dyDescent="0.25">
      <c r="A101" s="2"/>
      <c r="G101" s="2"/>
    </row>
    <row r="102" spans="1:12" x14ac:dyDescent="0.25">
      <c r="A102" s="2"/>
      <c r="G102" s="2"/>
    </row>
    <row r="103" spans="1:12" x14ac:dyDescent="0.25">
      <c r="A103" s="2"/>
      <c r="G103" s="2"/>
    </row>
    <row r="104" spans="1:12" x14ac:dyDescent="0.25">
      <c r="A104" s="2"/>
      <c r="G104" s="2"/>
    </row>
    <row r="105" spans="1:12" x14ac:dyDescent="0.25">
      <c r="A105" s="2"/>
      <c r="G105" s="2"/>
    </row>
    <row r="106" spans="1:12" x14ac:dyDescent="0.25">
      <c r="A106" s="2"/>
      <c r="G106" s="2"/>
    </row>
    <row r="107" spans="1:12" x14ac:dyDescent="0.25">
      <c r="A107" s="2"/>
      <c r="G107" s="2"/>
    </row>
    <row r="108" spans="1:12" x14ac:dyDescent="0.25">
      <c r="B108" s="2"/>
      <c r="C108" s="2"/>
      <c r="D108" s="2"/>
      <c r="E108" s="2"/>
      <c r="F108" s="2"/>
      <c r="H108" s="2"/>
      <c r="I108" s="2"/>
      <c r="J108" s="2"/>
      <c r="K108" s="2"/>
      <c r="L108" s="2"/>
    </row>
    <row r="110" spans="1:12" x14ac:dyDescent="0.25">
      <c r="A110" s="2"/>
      <c r="B110" s="2"/>
      <c r="C110" s="2"/>
      <c r="G110" s="2"/>
      <c r="H110" s="2"/>
      <c r="I110" s="2"/>
      <c r="L110" s="2"/>
    </row>
    <row r="111" spans="1:12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 x14ac:dyDescent="0.25">
      <c r="A112" s="2"/>
      <c r="G112" s="2"/>
    </row>
    <row r="113" spans="1:12" x14ac:dyDescent="0.25">
      <c r="A113" s="2"/>
      <c r="G113" s="2"/>
    </row>
    <row r="114" spans="1:12" x14ac:dyDescent="0.25">
      <c r="A114" s="2"/>
      <c r="G114" s="2"/>
    </row>
    <row r="115" spans="1:12" x14ac:dyDescent="0.25">
      <c r="A115" s="2"/>
      <c r="G115" s="2"/>
    </row>
    <row r="116" spans="1:12" x14ac:dyDescent="0.25">
      <c r="A116" s="2"/>
      <c r="G116" s="2"/>
    </row>
    <row r="117" spans="1:12" x14ac:dyDescent="0.25">
      <c r="A117" s="2"/>
      <c r="G117" s="2"/>
    </row>
    <row r="118" spans="1:12" x14ac:dyDescent="0.25">
      <c r="A118" s="2"/>
      <c r="G118" s="2"/>
    </row>
    <row r="119" spans="1:12" x14ac:dyDescent="0.25">
      <c r="A119" s="2"/>
      <c r="G119" s="2"/>
    </row>
    <row r="120" spans="1:12" x14ac:dyDescent="0.25">
      <c r="B120" s="2"/>
      <c r="C120" s="2"/>
      <c r="D120" s="2"/>
      <c r="E120" s="2"/>
      <c r="F120" s="2"/>
      <c r="H120" s="2"/>
      <c r="I120" s="2"/>
      <c r="J120" s="2"/>
      <c r="K120" s="2"/>
      <c r="L120" s="2"/>
    </row>
    <row r="122" spans="1:12" x14ac:dyDescent="0.25">
      <c r="A122" s="2"/>
      <c r="B122" s="2"/>
      <c r="C122" s="2"/>
      <c r="G122" s="2"/>
      <c r="H122" s="2"/>
      <c r="I122" s="2"/>
      <c r="L122" s="2"/>
    </row>
    <row r="123" spans="1:12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1:12" x14ac:dyDescent="0.25">
      <c r="A124" s="2"/>
      <c r="G124" s="2"/>
    </row>
    <row r="125" spans="1:12" x14ac:dyDescent="0.25">
      <c r="A125" s="2"/>
      <c r="G125" s="2"/>
    </row>
  </sheetData>
  <pageMargins left="0.7" right="0.7" top="0.75" bottom="0.75" header="0.3" footer="0.3"/>
  <pageSetup paperSize="9" orientation="portrait" verticalDpi="0" r:id="rId1"/>
  <headerFooter>
    <oddHeader>&amp;R&amp;"Calibri"&amp;10&amp;K000000 PUBLIC / CYHOEDDUS&amp;1#_x000D_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59C5C-826E-4767-BC64-72417D7A9526}">
  <dimension ref="A1:M49"/>
  <sheetViews>
    <sheetView workbookViewId="0">
      <selection activeCell="C34" sqref="C34"/>
    </sheetView>
  </sheetViews>
  <sheetFormatPr defaultRowHeight="15" x14ac:dyDescent="0.25"/>
  <cols>
    <col min="1" max="1" width="11" customWidth="1"/>
    <col min="2" max="2" width="13" customWidth="1"/>
    <col min="3" max="3" width="17.5703125" customWidth="1"/>
    <col min="4" max="4" width="13.85546875" customWidth="1"/>
    <col min="5" max="5" width="17.5703125" customWidth="1"/>
    <col min="6" max="6" width="14.7109375" customWidth="1"/>
    <col min="7" max="7" width="16.28515625" customWidth="1"/>
    <col min="8" max="8" width="13.7109375" customWidth="1"/>
    <col min="10" max="10" width="12.42578125" customWidth="1"/>
    <col min="12" max="12" width="10" customWidth="1"/>
    <col min="13" max="13" width="11.7109375" customWidth="1"/>
    <col min="14" max="14" width="20" customWidth="1"/>
  </cols>
  <sheetData>
    <row r="1" spans="1:7" x14ac:dyDescent="0.25">
      <c r="A1" t="s">
        <v>172</v>
      </c>
    </row>
    <row r="2" spans="1:7" x14ac:dyDescent="0.25">
      <c r="A2" t="s">
        <v>135</v>
      </c>
      <c r="B2">
        <v>50</v>
      </c>
      <c r="C2" s="2" t="s">
        <v>173</v>
      </c>
      <c r="E2" t="s">
        <v>135</v>
      </c>
      <c r="F2">
        <v>50</v>
      </c>
      <c r="G2" s="2" t="s">
        <v>173</v>
      </c>
    </row>
    <row r="3" spans="1:7" x14ac:dyDescent="0.25">
      <c r="A3" t="s">
        <v>174</v>
      </c>
      <c r="B3">
        <v>20</v>
      </c>
      <c r="C3">
        <f>B2/B3</f>
        <v>2.5</v>
      </c>
      <c r="E3" t="s">
        <v>174</v>
      </c>
      <c r="F3">
        <v>50</v>
      </c>
      <c r="G3">
        <f>F2/F3</f>
        <v>1</v>
      </c>
    </row>
    <row r="5" spans="1:7" x14ac:dyDescent="0.25">
      <c r="B5" s="155" t="s">
        <v>175</v>
      </c>
      <c r="C5" s="155"/>
      <c r="E5" s="155" t="s">
        <v>176</v>
      </c>
      <c r="F5" s="155"/>
    </row>
    <row r="6" spans="1:7" ht="31.15" customHeight="1" x14ac:dyDescent="0.25">
      <c r="A6" s="49" t="s">
        <v>177</v>
      </c>
      <c r="B6" s="50" t="s">
        <v>178</v>
      </c>
      <c r="C6" s="50" t="s">
        <v>179</v>
      </c>
      <c r="D6" s="49" t="s">
        <v>177</v>
      </c>
      <c r="E6" s="50" t="s">
        <v>178</v>
      </c>
      <c r="F6" s="50" t="s">
        <v>179</v>
      </c>
    </row>
    <row r="7" spans="1:7" x14ac:dyDescent="0.25">
      <c r="A7">
        <f>B7*$C$3</f>
        <v>239.45</v>
      </c>
      <c r="B7" s="51">
        <v>95.78</v>
      </c>
      <c r="C7" s="51">
        <v>50</v>
      </c>
      <c r="D7">
        <f>E7*$G$3</f>
        <v>10.77</v>
      </c>
      <c r="E7" s="51">
        <v>10.77</v>
      </c>
      <c r="F7" s="51">
        <v>2</v>
      </c>
    </row>
    <row r="8" spans="1:7" x14ac:dyDescent="0.25">
      <c r="A8">
        <f t="shared" ref="A8:A18" si="0">B8*$C$3</f>
        <v>237.65</v>
      </c>
      <c r="B8" s="51">
        <v>95.06</v>
      </c>
      <c r="C8" s="51">
        <v>50</v>
      </c>
      <c r="D8">
        <f>E8*$G$3</f>
        <v>11.03</v>
      </c>
      <c r="E8" s="51">
        <v>11.03</v>
      </c>
      <c r="F8" s="51">
        <v>2</v>
      </c>
    </row>
    <row r="9" spans="1:7" x14ac:dyDescent="0.25">
      <c r="A9">
        <f t="shared" si="0"/>
        <v>494.25</v>
      </c>
      <c r="B9" s="51">
        <v>197.7</v>
      </c>
      <c r="C9" s="51">
        <v>100</v>
      </c>
      <c r="D9">
        <f>E9*$G$3</f>
        <v>20.22</v>
      </c>
      <c r="E9" s="51">
        <v>20.22</v>
      </c>
      <c r="F9" s="51">
        <v>4</v>
      </c>
    </row>
    <row r="10" spans="1:7" x14ac:dyDescent="0.25">
      <c r="A10">
        <f t="shared" si="0"/>
        <v>484.25</v>
      </c>
      <c r="B10" s="51">
        <v>193.7</v>
      </c>
      <c r="C10" s="51">
        <v>100</v>
      </c>
      <c r="D10">
        <f t="shared" ref="D10:D17" si="1">E10*$G$3</f>
        <v>20.18</v>
      </c>
      <c r="E10" s="51">
        <v>20.18</v>
      </c>
      <c r="F10" s="51">
        <v>4</v>
      </c>
    </row>
    <row r="11" spans="1:7" x14ac:dyDescent="0.25">
      <c r="A11">
        <f t="shared" si="0"/>
        <v>1013.5</v>
      </c>
      <c r="B11" s="51">
        <v>405.4</v>
      </c>
      <c r="C11" s="51">
        <v>200</v>
      </c>
      <c r="D11">
        <f t="shared" si="1"/>
        <v>45.14</v>
      </c>
      <c r="E11" s="51">
        <v>45.14</v>
      </c>
      <c r="F11" s="51">
        <v>10</v>
      </c>
    </row>
    <row r="12" spans="1:7" x14ac:dyDescent="0.25">
      <c r="A12">
        <f t="shared" si="0"/>
        <v>997.5</v>
      </c>
      <c r="B12" s="51">
        <v>399</v>
      </c>
      <c r="C12" s="51">
        <v>200</v>
      </c>
      <c r="D12">
        <f t="shared" si="1"/>
        <v>46.01</v>
      </c>
      <c r="E12" s="51">
        <v>46.01</v>
      </c>
      <c r="F12" s="51">
        <v>10</v>
      </c>
    </row>
    <row r="13" spans="1:7" x14ac:dyDescent="0.25">
      <c r="A13">
        <f t="shared" si="0"/>
        <v>2630</v>
      </c>
      <c r="B13" s="51">
        <v>1052</v>
      </c>
      <c r="C13" s="51">
        <v>500</v>
      </c>
      <c r="D13">
        <f t="shared" si="1"/>
        <v>230.6</v>
      </c>
      <c r="E13" s="51">
        <v>230.6</v>
      </c>
      <c r="F13" s="51">
        <v>50</v>
      </c>
    </row>
    <row r="14" spans="1:7" x14ac:dyDescent="0.25">
      <c r="A14">
        <f t="shared" si="0"/>
        <v>2615</v>
      </c>
      <c r="B14" s="51">
        <v>1046</v>
      </c>
      <c r="C14" s="51">
        <v>500</v>
      </c>
      <c r="D14">
        <f t="shared" si="1"/>
        <v>0</v>
      </c>
      <c r="E14" s="51"/>
      <c r="F14" s="51"/>
    </row>
    <row r="15" spans="1:7" x14ac:dyDescent="0.25">
      <c r="A15">
        <f t="shared" si="0"/>
        <v>5647.5</v>
      </c>
      <c r="B15" s="51">
        <v>2259</v>
      </c>
      <c r="C15" s="51">
        <v>1000</v>
      </c>
      <c r="D15">
        <f t="shared" si="1"/>
        <v>228.8</v>
      </c>
      <c r="E15" s="51">
        <v>228.8</v>
      </c>
      <c r="F15" s="51">
        <v>50</v>
      </c>
    </row>
    <row r="16" spans="1:7" x14ac:dyDescent="0.25">
      <c r="A16">
        <f t="shared" si="0"/>
        <v>5440</v>
      </c>
      <c r="B16" s="51">
        <v>2176</v>
      </c>
      <c r="C16" s="51">
        <v>1000</v>
      </c>
      <c r="D16">
        <f t="shared" si="1"/>
        <v>468</v>
      </c>
      <c r="E16" s="51">
        <v>468</v>
      </c>
      <c r="F16" s="51">
        <v>100</v>
      </c>
    </row>
    <row r="17" spans="1:13" x14ac:dyDescent="0.25">
      <c r="A17">
        <f t="shared" si="0"/>
        <v>0</v>
      </c>
      <c r="B17" s="51"/>
      <c r="C17" s="51"/>
      <c r="D17">
        <f t="shared" si="1"/>
        <v>464.9</v>
      </c>
      <c r="E17" s="51">
        <v>464.9</v>
      </c>
      <c r="F17" s="51">
        <v>100</v>
      </c>
    </row>
    <row r="18" spans="1:13" x14ac:dyDescent="0.25">
      <c r="A18">
        <f t="shared" si="0"/>
        <v>0</v>
      </c>
      <c r="B18" s="51"/>
      <c r="C18" s="51"/>
      <c r="D18">
        <f>E18*$G$3</f>
        <v>0</v>
      </c>
      <c r="E18" s="51"/>
      <c r="F18" s="51"/>
    </row>
    <row r="20" spans="1:13" x14ac:dyDescent="0.25">
      <c r="B20" s="52" t="s">
        <v>180</v>
      </c>
      <c r="C20" s="52" t="s">
        <v>181</v>
      </c>
      <c r="E20" s="52" t="s">
        <v>180</v>
      </c>
      <c r="F20" s="52" t="s">
        <v>181</v>
      </c>
    </row>
    <row r="21" spans="1:13" x14ac:dyDescent="0.25">
      <c r="B21" s="53">
        <f>SLOPE(A7:A18, C7:C18)</f>
        <v>5.5891893203883507</v>
      </c>
      <c r="C21" s="53">
        <f>INTERCEPT(A7:A18,C7:C18)</f>
        <v>-88.090048543690045</v>
      </c>
      <c r="E21" s="53">
        <f>SLOPE(D7:D18, F7:F18)</f>
        <v>4.6464325905919424</v>
      </c>
      <c r="F21" s="53">
        <f>INTERCEPT(D7:D18,F7:F18)</f>
        <v>0.30343799234751145</v>
      </c>
    </row>
    <row r="22" spans="1:13" x14ac:dyDescent="0.25">
      <c r="B22">
        <v>74.069999999999993</v>
      </c>
    </row>
    <row r="23" spans="1:13" x14ac:dyDescent="0.25">
      <c r="B23">
        <v>84.68</v>
      </c>
    </row>
    <row r="24" spans="1:13" x14ac:dyDescent="0.25">
      <c r="B24">
        <v>87.93</v>
      </c>
    </row>
    <row r="25" spans="1:13" x14ac:dyDescent="0.25">
      <c r="B25">
        <v>86.22</v>
      </c>
    </row>
    <row r="26" spans="1:13" x14ac:dyDescent="0.25">
      <c r="B26">
        <v>81.400000000000006</v>
      </c>
    </row>
    <row r="27" spans="1:13" x14ac:dyDescent="0.25">
      <c r="B27">
        <v>51.56</v>
      </c>
    </row>
    <row r="28" spans="1:13" x14ac:dyDescent="0.25">
      <c r="B28" s="156">
        <v>46.91</v>
      </c>
      <c r="C28" s="156"/>
      <c r="D28" s="156"/>
      <c r="E28" s="156"/>
      <c r="F28" s="156"/>
      <c r="G28" s="156"/>
      <c r="H28" s="156"/>
    </row>
    <row r="29" spans="1:13" x14ac:dyDescent="0.25">
      <c r="B29" s="155">
        <v>54.38</v>
      </c>
      <c r="C29" s="155"/>
      <c r="D29" s="48"/>
      <c r="E29" s="48"/>
      <c r="G29" s="155" t="s">
        <v>176</v>
      </c>
      <c r="H29" s="155"/>
      <c r="L29" t="s">
        <v>182</v>
      </c>
      <c r="M29" t="s">
        <v>183</v>
      </c>
    </row>
    <row r="30" spans="1:13" x14ac:dyDescent="0.25">
      <c r="B30" s="2">
        <v>82.64</v>
      </c>
      <c r="C30" s="2" t="s">
        <v>184</v>
      </c>
      <c r="D30" s="2" t="s">
        <v>185</v>
      </c>
      <c r="E30" s="2" t="s">
        <v>186</v>
      </c>
      <c r="F30" s="2"/>
      <c r="G30" s="2" t="s">
        <v>187</v>
      </c>
      <c r="H30" s="2" t="s">
        <v>184</v>
      </c>
      <c r="I30" s="2" t="s">
        <v>188</v>
      </c>
      <c r="J30" s="2" t="s">
        <v>186</v>
      </c>
      <c r="K30" s="2"/>
      <c r="L30" s="54" t="s">
        <v>189</v>
      </c>
      <c r="M30" s="55" t="s">
        <v>190</v>
      </c>
    </row>
    <row r="31" spans="1:13" x14ac:dyDescent="0.25">
      <c r="A31" t="s">
        <v>191</v>
      </c>
      <c r="B31" s="56">
        <v>82.89</v>
      </c>
      <c r="C31">
        <v>498.1</v>
      </c>
      <c r="D31">
        <v>1</v>
      </c>
      <c r="E31">
        <f>(C31-$C$21)/$B$21*D31</f>
        <v>104.87926154252369</v>
      </c>
      <c r="G31">
        <v>0</v>
      </c>
      <c r="H31">
        <v>0.83699999999999997</v>
      </c>
      <c r="I31">
        <v>1</v>
      </c>
      <c r="J31">
        <f>IF((H31-$F$21)/$E$21*I31&lt;0,0,(H31-$F$21)/$E$21*I31)</f>
        <v>0.11483261561414673</v>
      </c>
      <c r="L31" s="57">
        <f>E31-J31</f>
        <v>104.76442892690955</v>
      </c>
      <c r="M31" s="58"/>
    </row>
    <row r="32" spans="1:13" x14ac:dyDescent="0.25">
      <c r="A32" t="s">
        <v>191</v>
      </c>
      <c r="B32">
        <v>87.1</v>
      </c>
      <c r="C32">
        <v>499</v>
      </c>
      <c r="D32">
        <v>1</v>
      </c>
      <c r="E32">
        <f t="shared" ref="E32:E34" si="2">(C32-$C$21)/$B$21*D32</f>
        <v>105.04028668381152</v>
      </c>
      <c r="G32">
        <v>0</v>
      </c>
      <c r="H32">
        <v>0.86709999999999998</v>
      </c>
      <c r="I32">
        <v>1</v>
      </c>
      <c r="J32">
        <f t="shared" ref="J32:J34" si="3">IF((H32-$F$21)/$E$21*I32&lt;0,0,(H32-$F$21)/$E$21*I32)</f>
        <v>0.12131070378461674</v>
      </c>
      <c r="L32" s="57">
        <f t="shared" ref="L32:L34" si="4">E32-J32</f>
        <v>104.9189759800269</v>
      </c>
      <c r="M32" s="58"/>
    </row>
    <row r="33" spans="1:13" x14ac:dyDescent="0.25">
      <c r="A33" t="s">
        <v>142</v>
      </c>
      <c r="B33" s="56">
        <f>298.2*2*12.01/60.05</f>
        <v>119.27999999999999</v>
      </c>
      <c r="C33">
        <v>538.9</v>
      </c>
      <c r="D33">
        <v>1</v>
      </c>
      <c r="E33">
        <f t="shared" si="2"/>
        <v>112.17906794757226</v>
      </c>
      <c r="G33">
        <v>0</v>
      </c>
      <c r="H33">
        <v>1.105</v>
      </c>
      <c r="I33">
        <v>1</v>
      </c>
      <c r="J33">
        <f t="shared" si="3"/>
        <v>0.17251127440770034</v>
      </c>
      <c r="L33" s="57">
        <f t="shared" si="4"/>
        <v>112.00655667316457</v>
      </c>
      <c r="M33" s="58"/>
    </row>
    <row r="34" spans="1:13" x14ac:dyDescent="0.25">
      <c r="A34" t="s">
        <v>142</v>
      </c>
      <c r="B34" s="56">
        <f>298.2*2*12.01/60.05</f>
        <v>119.27999999999999</v>
      </c>
      <c r="C34">
        <v>541.70000000000005</v>
      </c>
      <c r="D34">
        <v>1</v>
      </c>
      <c r="E34">
        <f t="shared" si="2"/>
        <v>112.68003505380109</v>
      </c>
      <c r="G34">
        <v>0</v>
      </c>
      <c r="H34">
        <v>0.88959999999999995</v>
      </c>
      <c r="I34">
        <v>1</v>
      </c>
      <c r="J34">
        <f t="shared" si="3"/>
        <v>0.12615312849676211</v>
      </c>
      <c r="L34" s="57">
        <f t="shared" si="4"/>
        <v>112.55388192530432</v>
      </c>
      <c r="M34" s="58"/>
    </row>
    <row r="35" spans="1:13" x14ac:dyDescent="0.25">
      <c r="G35" s="59"/>
    </row>
    <row r="37" spans="1:13" x14ac:dyDescent="0.25">
      <c r="B37" s="156" t="s">
        <v>192</v>
      </c>
      <c r="C37" s="156"/>
      <c r="D37" s="156"/>
      <c r="E37" s="156"/>
      <c r="F37" s="156"/>
      <c r="G37" s="156"/>
      <c r="H37" s="156"/>
    </row>
    <row r="38" spans="1:13" x14ac:dyDescent="0.25">
      <c r="B38" s="155" t="s">
        <v>175</v>
      </c>
      <c r="C38" s="155"/>
      <c r="G38" s="155" t="s">
        <v>176</v>
      </c>
      <c r="H38" s="155"/>
    </row>
    <row r="39" spans="1:13" x14ac:dyDescent="0.25">
      <c r="B39" s="2" t="s">
        <v>178</v>
      </c>
      <c r="C39" s="2" t="s">
        <v>193</v>
      </c>
      <c r="F39" t="s">
        <v>194</v>
      </c>
      <c r="G39" s="2" t="s">
        <v>178</v>
      </c>
      <c r="H39" s="2" t="s">
        <v>195</v>
      </c>
    </row>
    <row r="40" spans="1:13" x14ac:dyDescent="0.25">
      <c r="B40">
        <v>2.4359999999999999</v>
      </c>
      <c r="C40" s="39">
        <f>(B40-$C$21)/$B$21</f>
        <v>16.19663306330802</v>
      </c>
      <c r="F40">
        <v>1</v>
      </c>
      <c r="G40">
        <v>0.69610000000000005</v>
      </c>
      <c r="H40">
        <f>IF((F40-$F$21)/$E$21*G40&lt;0,0,(F40-$F$21)/$E$21*G40)</f>
        <v>0.10435464285195309</v>
      </c>
    </row>
    <row r="41" spans="1:13" x14ac:dyDescent="0.25">
      <c r="B41">
        <v>2.4089999999999998</v>
      </c>
      <c r="C41" s="39">
        <f>(B41-$C$21)/$B$21</f>
        <v>16.191802309069388</v>
      </c>
      <c r="F41">
        <v>1</v>
      </c>
      <c r="G41">
        <v>0.68300000000000005</v>
      </c>
      <c r="H41">
        <f t="shared" ref="H41:H43" si="5">IF((F41-$F$21)/$E$21*G41&lt;0,0,(F41-$F$21)/$E$21*G41)</f>
        <v>0.10239077872128137</v>
      </c>
    </row>
    <row r="42" spans="1:13" x14ac:dyDescent="0.25">
      <c r="C42" s="39">
        <f t="shared" ref="C42:C43" si="6">(B42-$C$21)/$B$21</f>
        <v>15.760791680888943</v>
      </c>
      <c r="F42">
        <v>1</v>
      </c>
      <c r="H42">
        <f t="shared" si="5"/>
        <v>0</v>
      </c>
    </row>
    <row r="43" spans="1:13" x14ac:dyDescent="0.25">
      <c r="C43" s="39">
        <f t="shared" si="6"/>
        <v>15.760791680888943</v>
      </c>
      <c r="F43">
        <v>1</v>
      </c>
      <c r="H43">
        <f t="shared" si="5"/>
        <v>0</v>
      </c>
    </row>
    <row r="44" spans="1:13" x14ac:dyDescent="0.25">
      <c r="C44" s="39"/>
      <c r="H44" s="39"/>
    </row>
    <row r="45" spans="1:13" x14ac:dyDescent="0.25">
      <c r="C45" s="39"/>
      <c r="H45" s="39"/>
    </row>
    <row r="46" spans="1:13" x14ac:dyDescent="0.25">
      <c r="C46" s="39"/>
      <c r="G46" s="2" t="s">
        <v>39</v>
      </c>
      <c r="H46" s="60">
        <f>AVERAGE(H40:H45)</f>
        <v>5.1686355393308611E-2</v>
      </c>
      <c r="I46" s="2" t="s">
        <v>168</v>
      </c>
    </row>
    <row r="47" spans="1:13" x14ac:dyDescent="0.25">
      <c r="B47" s="2" t="s">
        <v>39</v>
      </c>
      <c r="C47" s="60">
        <f>AVERAGE(C40:C46)</f>
        <v>15.977504683538823</v>
      </c>
      <c r="D47" s="2" t="s">
        <v>168</v>
      </c>
    </row>
    <row r="49" spans="3:5" x14ac:dyDescent="0.25">
      <c r="C49" s="61" t="s">
        <v>190</v>
      </c>
      <c r="D49" s="62">
        <f>C47-H46</f>
        <v>15.925818328145516</v>
      </c>
      <c r="E49" s="2" t="s">
        <v>168</v>
      </c>
    </row>
  </sheetData>
  <mergeCells count="8">
    <mergeCell ref="B38:C38"/>
    <mergeCell ref="G38:H38"/>
    <mergeCell ref="B5:C5"/>
    <mergeCell ref="E5:F5"/>
    <mergeCell ref="B28:H28"/>
    <mergeCell ref="B29:C29"/>
    <mergeCell ref="G29:H29"/>
    <mergeCell ref="B37:H37"/>
  </mergeCells>
  <pageMargins left="0.7" right="0.7" top="0.75" bottom="0.75" header="0.3" footer="0.3"/>
  <pageSetup paperSize="9" orientation="portrait" r:id="rId1"/>
  <headerFooter>
    <oddHeader>&amp;R&amp;"Calibri"&amp;10&amp;K000000 PUBLIC / CYHOEDDUS&amp;1#_x000D_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8DDC8-190B-4B69-B04E-F4599E8D7310}">
  <dimension ref="A3:X32"/>
  <sheetViews>
    <sheetView zoomScale="90" zoomScaleNormal="90" workbookViewId="0">
      <selection activeCell="L18" sqref="L18"/>
    </sheetView>
  </sheetViews>
  <sheetFormatPr defaultRowHeight="15" x14ac:dyDescent="0.25"/>
  <cols>
    <col min="4" max="4" width="11" customWidth="1"/>
    <col min="6" max="6" width="12.85546875" customWidth="1"/>
    <col min="8" max="8" width="12.42578125" customWidth="1"/>
    <col min="9" max="9" width="13.85546875" customWidth="1"/>
    <col min="10" max="10" width="15.140625" customWidth="1"/>
    <col min="11" max="11" width="11.7109375" customWidth="1"/>
    <col min="12" max="12" width="10.28515625" customWidth="1"/>
    <col min="13" max="13" width="13.7109375" customWidth="1"/>
    <col min="15" max="15" width="21.7109375" customWidth="1"/>
    <col min="16" max="16" width="15.85546875" customWidth="1"/>
    <col min="19" max="19" width="18.140625" customWidth="1"/>
  </cols>
  <sheetData>
    <row r="3" spans="1:24" x14ac:dyDescent="0.25">
      <c r="A3" s="2"/>
      <c r="B3" s="165" t="s">
        <v>178</v>
      </c>
      <c r="C3" s="165"/>
      <c r="D3" s="165"/>
      <c r="E3" s="165"/>
      <c r="F3" s="166" t="s">
        <v>196</v>
      </c>
      <c r="G3" s="166"/>
      <c r="H3" s="166"/>
      <c r="M3" t="s">
        <v>21</v>
      </c>
      <c r="O3" t="s">
        <v>197</v>
      </c>
    </row>
    <row r="4" spans="1:24" x14ac:dyDescent="0.25">
      <c r="A4" s="63" t="s">
        <v>198</v>
      </c>
      <c r="B4" s="63" t="s">
        <v>199</v>
      </c>
      <c r="C4" s="63" t="s">
        <v>199</v>
      </c>
      <c r="D4" s="63" t="s">
        <v>200</v>
      </c>
      <c r="E4" s="63" t="s">
        <v>200</v>
      </c>
      <c r="F4" s="63" t="s">
        <v>199</v>
      </c>
      <c r="G4" s="63" t="s">
        <v>200</v>
      </c>
      <c r="H4" s="64" t="s">
        <v>189</v>
      </c>
      <c r="I4" s="63" t="s">
        <v>113</v>
      </c>
      <c r="J4" s="63" t="s">
        <v>201</v>
      </c>
      <c r="K4" s="63" t="s">
        <v>124</v>
      </c>
      <c r="L4" s="63" t="s">
        <v>108</v>
      </c>
      <c r="M4" s="63" t="s">
        <v>202</v>
      </c>
      <c r="N4" s="63" t="s">
        <v>113</v>
      </c>
      <c r="O4" s="63" t="s">
        <v>203</v>
      </c>
      <c r="P4" s="63" t="s">
        <v>204</v>
      </c>
      <c r="Q4" s="63" t="s">
        <v>205</v>
      </c>
      <c r="R4" s="63" t="s">
        <v>108</v>
      </c>
    </row>
    <row r="5" spans="1:24" x14ac:dyDescent="0.25">
      <c r="A5" s="2" t="s">
        <v>57</v>
      </c>
      <c r="B5" s="11">
        <v>379</v>
      </c>
      <c r="C5" s="11">
        <v>378.6</v>
      </c>
      <c r="D5" s="11">
        <v>43.74</v>
      </c>
      <c r="E5" s="11">
        <v>42.8</v>
      </c>
      <c r="F5">
        <v>83.534484480702716</v>
      </c>
      <c r="G5">
        <v>9.2472151849681019</v>
      </c>
      <c r="H5" s="65">
        <f>F5-G5</f>
        <v>74.287269295734617</v>
      </c>
      <c r="I5">
        <v>50</v>
      </c>
      <c r="J5">
        <f t="shared" ref="J5:J16" si="0">I5*H5</f>
        <v>3714.3634647867307</v>
      </c>
      <c r="K5" s="167">
        <f>AVERAGE(J5:J6)</f>
        <v>3709.0338860723605</v>
      </c>
      <c r="L5" s="168">
        <f>_xlfn.STDEV.P(J5:J6)</f>
        <v>5.3295787143699727</v>
      </c>
      <c r="M5">
        <v>1.616723863352358</v>
      </c>
      <c r="N5">
        <v>1</v>
      </c>
      <c r="O5">
        <f>M5*N5*1000</f>
        <v>1616.723863352358</v>
      </c>
      <c r="P5" s="66">
        <f>+O5/J5</f>
        <v>0.4352626980852522</v>
      </c>
      <c r="Q5" s="163">
        <f t="shared" ref="Q5" si="1">AVERAGE(P5:P6)</f>
        <v>0.44139879704277196</v>
      </c>
      <c r="R5" s="163">
        <f>_xlfn.STDEV.P(P5:P6)</f>
        <v>6.1360989575197367E-3</v>
      </c>
      <c r="S5" s="164" t="s">
        <v>84</v>
      </c>
      <c r="W5" s="43"/>
      <c r="X5" s="43"/>
    </row>
    <row r="6" spans="1:24" x14ac:dyDescent="0.25">
      <c r="A6" s="2" t="s">
        <v>58</v>
      </c>
      <c r="B6">
        <v>376.9</v>
      </c>
      <c r="C6">
        <v>374.6</v>
      </c>
      <c r="D6">
        <v>42.25</v>
      </c>
      <c r="E6">
        <v>41.2</v>
      </c>
      <c r="F6">
        <v>82.988788168560603</v>
      </c>
      <c r="G6">
        <v>8.9147020214007888</v>
      </c>
      <c r="H6" s="65">
        <f>F6-G6</f>
        <v>74.074086147159818</v>
      </c>
      <c r="I6">
        <v>50</v>
      </c>
      <c r="J6">
        <f t="shared" si="0"/>
        <v>3703.7043073579907</v>
      </c>
      <c r="K6" s="158"/>
      <c r="L6" s="160"/>
      <c r="M6">
        <v>1.6575369220092908</v>
      </c>
      <c r="N6">
        <v>1</v>
      </c>
      <c r="O6">
        <f t="shared" ref="O6:O8" si="2">M6*N6*1000</f>
        <v>1657.5369220092907</v>
      </c>
      <c r="P6" s="67">
        <f t="shared" ref="P6:P16" si="3">+O6/J6</f>
        <v>0.44753489600029167</v>
      </c>
      <c r="Q6" s="162"/>
      <c r="R6" s="162"/>
      <c r="S6" s="164"/>
      <c r="W6" s="43"/>
      <c r="X6" s="43"/>
    </row>
    <row r="7" spans="1:24" x14ac:dyDescent="0.25">
      <c r="A7" s="2" t="s">
        <v>60</v>
      </c>
      <c r="B7" s="11">
        <v>414.6</v>
      </c>
      <c r="C7" s="11">
        <v>417.7</v>
      </c>
      <c r="D7" s="11">
        <v>25.53</v>
      </c>
      <c r="E7" s="11">
        <v>26.53</v>
      </c>
      <c r="F7">
        <v>90.217027844147921</v>
      </c>
      <c r="G7">
        <v>5.5368417610842817</v>
      </c>
      <c r="H7" s="65">
        <f>F7-G7</f>
        <v>84.680186083063646</v>
      </c>
      <c r="I7">
        <v>50</v>
      </c>
      <c r="J7">
        <f t="shared" si="0"/>
        <v>4234.0093041531827</v>
      </c>
      <c r="K7" s="157">
        <f t="shared" ref="K7" si="4">AVERAGE(J7:J8)</f>
        <v>4315.2667137099634</v>
      </c>
      <c r="L7" s="159">
        <f>_xlfn.STDEV.P(J7:J8)</f>
        <v>81.257409556780658</v>
      </c>
      <c r="M7">
        <v>3.2852278780223796</v>
      </c>
      <c r="N7">
        <v>1</v>
      </c>
      <c r="O7">
        <f t="shared" si="2"/>
        <v>3285.2278780223796</v>
      </c>
      <c r="P7" s="67">
        <f t="shared" si="3"/>
        <v>0.77591418488378527</v>
      </c>
      <c r="Q7" s="161">
        <f t="shared" ref="Q7" si="5">AVERAGE(P7:P8)</f>
        <v>0.77345497525331175</v>
      </c>
      <c r="R7" s="161">
        <f t="shared" ref="R7" si="6">_xlfn.STDEV.P(P7:P8)</f>
        <v>2.45920963047358E-3</v>
      </c>
      <c r="S7" s="161" t="s">
        <v>85</v>
      </c>
      <c r="W7" s="43"/>
      <c r="X7" s="43"/>
    </row>
    <row r="8" spans="1:24" x14ac:dyDescent="0.25">
      <c r="A8" s="2" t="s">
        <v>61</v>
      </c>
      <c r="B8">
        <v>434.5</v>
      </c>
      <c r="C8">
        <v>433.7</v>
      </c>
      <c r="D8">
        <v>25.65</v>
      </c>
      <c r="E8">
        <v>26.05</v>
      </c>
      <c r="F8">
        <v>93.428584828721995</v>
      </c>
      <c r="G8">
        <v>5.4981023633871189</v>
      </c>
      <c r="H8" s="65">
        <f>F8-G8</f>
        <v>87.930482465334876</v>
      </c>
      <c r="I8">
        <v>50</v>
      </c>
      <c r="J8">
        <f t="shared" si="0"/>
        <v>4396.524123266744</v>
      </c>
      <c r="K8" s="158"/>
      <c r="L8" s="160"/>
      <c r="M8">
        <v>3.3897014824973204</v>
      </c>
      <c r="N8">
        <v>1</v>
      </c>
      <c r="O8">
        <f t="shared" si="2"/>
        <v>3389.7014824973203</v>
      </c>
      <c r="P8" s="67">
        <f t="shared" si="3"/>
        <v>0.77099576562283811</v>
      </c>
      <c r="Q8" s="162"/>
      <c r="R8" s="162"/>
      <c r="S8" s="162"/>
      <c r="W8" s="43"/>
      <c r="X8" s="43"/>
    </row>
    <row r="9" spans="1:24" x14ac:dyDescent="0.25">
      <c r="A9" s="2" t="s">
        <v>63</v>
      </c>
      <c r="B9" s="11">
        <v>428</v>
      </c>
      <c r="C9" s="11">
        <v>428.9</v>
      </c>
      <c r="D9" s="11">
        <v>28.83</v>
      </c>
      <c r="E9" s="11">
        <v>29.4</v>
      </c>
      <c r="F9">
        <v>92.417704775081688</v>
      </c>
      <c r="G9">
        <v>6.2007919938384335</v>
      </c>
      <c r="H9" s="65">
        <f t="shared" ref="H9:H16" si="7">F9-G9</f>
        <v>86.216912781243252</v>
      </c>
      <c r="I9">
        <v>50</v>
      </c>
      <c r="J9">
        <f t="shared" si="0"/>
        <v>4310.8456390621623</v>
      </c>
      <c r="K9" s="157">
        <f t="shared" ref="K9" si="8">AVERAGE(J9:J10)</f>
        <v>4190.5101552071137</v>
      </c>
      <c r="L9" s="159">
        <f t="shared" ref="L9" si="9">_xlfn.STDEV.P(J9:J10)</f>
        <v>120.3354838550481</v>
      </c>
      <c r="M9">
        <v>3.0980280829854823</v>
      </c>
      <c r="N9">
        <v>1</v>
      </c>
      <c r="O9">
        <f>M9*N9*1000</f>
        <v>3098.0280829854823</v>
      </c>
      <c r="P9" s="67">
        <f t="shared" si="3"/>
        <v>0.71865901551034606</v>
      </c>
      <c r="Q9" s="161">
        <f t="shared" ref="Q9" si="10">AVERAGE(P9:P10)</f>
        <v>0.75442532215967073</v>
      </c>
      <c r="R9" s="161">
        <f t="shared" ref="R9" si="11">_xlfn.STDEV.P(P9:P10)</f>
        <v>3.5766306649324675E-2</v>
      </c>
      <c r="S9" s="161" t="s">
        <v>86</v>
      </c>
      <c r="W9" s="43"/>
      <c r="X9" s="43"/>
    </row>
    <row r="10" spans="1:24" x14ac:dyDescent="0.25">
      <c r="A10" s="2" t="s">
        <v>64</v>
      </c>
      <c r="B10">
        <v>391</v>
      </c>
      <c r="C10">
        <v>393.1</v>
      </c>
      <c r="D10">
        <v>21.28</v>
      </c>
      <c r="E10">
        <v>21.16</v>
      </c>
      <c r="F10">
        <v>85.905132394106971</v>
      </c>
      <c r="G10">
        <v>4.5016389670656505</v>
      </c>
      <c r="H10" s="65">
        <f t="shared" si="7"/>
        <v>81.403493427041326</v>
      </c>
      <c r="I10">
        <v>50</v>
      </c>
      <c r="J10">
        <f t="shared" si="0"/>
        <v>4070.1746713520661</v>
      </c>
      <c r="K10" s="158"/>
      <c r="L10" s="160"/>
      <c r="M10">
        <v>3.2162179530928063</v>
      </c>
      <c r="N10">
        <v>1</v>
      </c>
      <c r="O10">
        <f t="shared" ref="O10:O16" si="12">M10*N10*1000</f>
        <v>3216.2179530928065</v>
      </c>
      <c r="P10" s="67">
        <f t="shared" si="3"/>
        <v>0.79019162880899541</v>
      </c>
      <c r="Q10" s="162"/>
      <c r="R10" s="162"/>
      <c r="S10" s="162"/>
      <c r="W10" s="43"/>
      <c r="X10" s="43"/>
    </row>
    <row r="11" spans="1:24" x14ac:dyDescent="0.25">
      <c r="A11" s="2" t="s">
        <v>66</v>
      </c>
      <c r="B11" s="11">
        <v>234</v>
      </c>
      <c r="C11" s="11">
        <v>234</v>
      </c>
      <c r="D11" s="11">
        <v>28.5</v>
      </c>
      <c r="E11" s="11">
        <v>28.53</v>
      </c>
      <c r="F11">
        <v>57.627328415726382</v>
      </c>
      <c r="G11">
        <v>6.0716606681812237</v>
      </c>
      <c r="H11" s="65">
        <f t="shared" si="7"/>
        <v>51.555667747545158</v>
      </c>
      <c r="I11">
        <v>50</v>
      </c>
      <c r="J11">
        <f t="shared" si="0"/>
        <v>2577.7833873772579</v>
      </c>
      <c r="K11" s="157">
        <f t="shared" ref="K11" si="13">AVERAGE(J11:J12)</f>
        <v>2460.5918999105097</v>
      </c>
      <c r="L11" s="159">
        <f t="shared" ref="L11" si="14">_xlfn.STDEV.P(J11:J12)</f>
        <v>117.19148746674796</v>
      </c>
      <c r="M11">
        <v>1.8063180781738621</v>
      </c>
      <c r="N11">
        <v>1</v>
      </c>
      <c r="O11">
        <f t="shared" si="12"/>
        <v>1806.3180781738622</v>
      </c>
      <c r="P11" s="67">
        <f t="shared" si="3"/>
        <v>0.7007253157960972</v>
      </c>
      <c r="Q11" s="161">
        <f t="shared" ref="Q11" si="15">AVERAGE(P11:P12)</f>
        <v>0.72344351662417572</v>
      </c>
      <c r="R11" s="161">
        <f t="shared" ref="R11" si="16">_xlfn.STDEV.P(P11:P12)</f>
        <v>2.2718200828078572E-2</v>
      </c>
      <c r="S11" s="161" t="s">
        <v>87</v>
      </c>
      <c r="W11" s="43"/>
      <c r="X11" s="43"/>
    </row>
    <row r="12" spans="1:24" x14ac:dyDescent="0.25">
      <c r="A12" s="2" t="s">
        <v>67</v>
      </c>
      <c r="B12">
        <v>205.4</v>
      </c>
      <c r="C12">
        <v>205.9</v>
      </c>
      <c r="D12">
        <v>26.35</v>
      </c>
      <c r="E12">
        <v>26.69</v>
      </c>
      <c r="F12">
        <v>52.510307259246247</v>
      </c>
      <c r="G12">
        <v>5.6422990103710031</v>
      </c>
      <c r="H12" s="65">
        <f t="shared" si="7"/>
        <v>46.868008248875242</v>
      </c>
      <c r="I12">
        <v>50</v>
      </c>
      <c r="J12">
        <f t="shared" si="0"/>
        <v>2343.400412443762</v>
      </c>
      <c r="K12" s="158"/>
      <c r="L12" s="160"/>
      <c r="M12">
        <v>1.7485556764273587</v>
      </c>
      <c r="N12">
        <v>1</v>
      </c>
      <c r="O12">
        <f t="shared" si="12"/>
        <v>1748.5556764273585</v>
      </c>
      <c r="P12" s="67">
        <f t="shared" si="3"/>
        <v>0.74616171745225435</v>
      </c>
      <c r="Q12" s="162"/>
      <c r="R12" s="162"/>
      <c r="S12" s="162"/>
      <c r="W12" s="43"/>
      <c r="X12" s="43"/>
    </row>
    <row r="13" spans="1:24" x14ac:dyDescent="0.25">
      <c r="A13" s="2" t="s">
        <v>69</v>
      </c>
      <c r="B13" s="11">
        <v>231.5</v>
      </c>
      <c r="C13" s="11">
        <v>232.6</v>
      </c>
      <c r="D13" s="11">
        <v>13.73</v>
      </c>
      <c r="E13" s="11">
        <v>13.8</v>
      </c>
      <c r="F13">
        <v>57.27844060960274</v>
      </c>
      <c r="G13">
        <v>2.8971822457748222</v>
      </c>
      <c r="H13" s="65">
        <f t="shared" si="7"/>
        <v>54.381258363827918</v>
      </c>
      <c r="I13">
        <v>50</v>
      </c>
      <c r="K13" s="157">
        <f t="shared" ref="K13" si="17">AVERAGE(J13:J14)</f>
        <v>4132.1388413206232</v>
      </c>
      <c r="L13" s="159">
        <f t="shared" ref="L13" si="18">_xlfn.STDEV.P(J13:J14)</f>
        <v>0</v>
      </c>
      <c r="M13">
        <v>3.2431162844245165</v>
      </c>
      <c r="N13">
        <v>1</v>
      </c>
      <c r="O13">
        <f t="shared" si="12"/>
        <v>3243.1162844245164</v>
      </c>
      <c r="P13" s="67"/>
      <c r="Q13" s="161">
        <f t="shared" ref="Q13" si="19">AVERAGE(P13:P14)</f>
        <v>0.77792756017676179</v>
      </c>
      <c r="R13" s="161">
        <f t="shared" ref="R13" si="20">_xlfn.STDEV.P(P13:P14)</f>
        <v>0</v>
      </c>
      <c r="S13" s="161" t="s">
        <v>88</v>
      </c>
      <c r="W13" s="43"/>
      <c r="X13" s="43"/>
    </row>
    <row r="14" spans="1:24" x14ac:dyDescent="0.25">
      <c r="A14" s="2" t="s">
        <v>70</v>
      </c>
      <c r="B14">
        <v>412</v>
      </c>
      <c r="C14">
        <v>408.7</v>
      </c>
      <c r="D14">
        <v>30.85</v>
      </c>
      <c r="E14">
        <v>30.5</v>
      </c>
      <c r="F14">
        <v>89.179310266959646</v>
      </c>
      <c r="G14">
        <v>6.5365334405471787</v>
      </c>
      <c r="H14" s="65">
        <f t="shared" si="7"/>
        <v>82.642776826412472</v>
      </c>
      <c r="I14">
        <v>50</v>
      </c>
      <c r="J14">
        <f t="shared" si="0"/>
        <v>4132.1388413206232</v>
      </c>
      <c r="K14" s="158"/>
      <c r="L14" s="160"/>
      <c r="M14">
        <v>3.2145046871401837</v>
      </c>
      <c r="N14">
        <v>1</v>
      </c>
      <c r="O14">
        <f t="shared" si="12"/>
        <v>3214.5046871401837</v>
      </c>
      <c r="P14" s="67">
        <f t="shared" si="3"/>
        <v>0.77792756017676179</v>
      </c>
      <c r="Q14" s="162"/>
      <c r="R14" s="162"/>
      <c r="S14" s="162"/>
      <c r="W14" s="43"/>
      <c r="X14" s="43"/>
    </row>
    <row r="15" spans="1:24" x14ac:dyDescent="0.25">
      <c r="A15" s="2" t="s">
        <v>72</v>
      </c>
      <c r="B15" s="11">
        <v>402.5</v>
      </c>
      <c r="C15" s="11">
        <v>402.5</v>
      </c>
      <c r="D15" s="11">
        <v>23.09</v>
      </c>
      <c r="E15" s="11">
        <v>22.92</v>
      </c>
      <c r="F15">
        <v>87.774813201282413</v>
      </c>
      <c r="G15">
        <v>4.8858046608958503</v>
      </c>
      <c r="H15" s="65">
        <f t="shared" si="7"/>
        <v>82.889008540386556</v>
      </c>
      <c r="I15">
        <v>50</v>
      </c>
      <c r="J15">
        <f t="shared" si="0"/>
        <v>4144.4504270193274</v>
      </c>
      <c r="K15" s="157">
        <f t="shared" ref="K15" si="21">AVERAGE(J15:J16)</f>
        <v>4249.6528648803742</v>
      </c>
      <c r="L15" s="159">
        <f t="shared" ref="L15" si="22">_xlfn.STDEV.P(J15:J16)</f>
        <v>105.20243786104629</v>
      </c>
      <c r="M15">
        <v>3.1332441318051805</v>
      </c>
      <c r="N15">
        <v>1</v>
      </c>
      <c r="O15">
        <f t="shared" si="12"/>
        <v>3133.2441318051806</v>
      </c>
      <c r="P15" s="67">
        <f t="shared" si="3"/>
        <v>0.75600955711240048</v>
      </c>
      <c r="Q15" s="161">
        <f t="shared" ref="Q15" si="23">AVERAGE(P15:P16)</f>
        <v>0.7579011224654234</v>
      </c>
      <c r="R15" s="161">
        <f t="shared" ref="R15" si="24">_xlfn.STDEV.P(P15:P16)</f>
        <v>1.8915653530229282E-3</v>
      </c>
      <c r="S15" s="161" t="s">
        <v>89</v>
      </c>
      <c r="W15" s="43"/>
      <c r="X15" s="43"/>
    </row>
    <row r="16" spans="1:24" x14ac:dyDescent="0.25">
      <c r="A16" s="2" t="s">
        <v>73</v>
      </c>
      <c r="B16">
        <v>428</v>
      </c>
      <c r="C16">
        <v>430.8</v>
      </c>
      <c r="D16">
        <v>25.82</v>
      </c>
      <c r="E16">
        <v>25.81</v>
      </c>
      <c r="F16">
        <v>92.587675757552176</v>
      </c>
      <c r="G16">
        <v>5.4905697027237803</v>
      </c>
      <c r="H16" s="65">
        <f t="shared" si="7"/>
        <v>87.097106054828402</v>
      </c>
      <c r="I16">
        <v>50</v>
      </c>
      <c r="J16">
        <f t="shared" si="0"/>
        <v>4354.85530274142</v>
      </c>
      <c r="K16" s="158"/>
      <c r="L16" s="160"/>
      <c r="M16">
        <v>3.3087872155303173</v>
      </c>
      <c r="N16">
        <v>1</v>
      </c>
      <c r="O16">
        <f t="shared" si="12"/>
        <v>3308.7872155303171</v>
      </c>
      <c r="P16" s="67">
        <f t="shared" si="3"/>
        <v>0.75979268781844633</v>
      </c>
      <c r="Q16" s="162"/>
      <c r="R16" s="162"/>
      <c r="S16" s="162"/>
    </row>
    <row r="17" spans="1:9" x14ac:dyDescent="0.25">
      <c r="A17" s="2"/>
    </row>
    <row r="18" spans="1:9" x14ac:dyDescent="0.25">
      <c r="A18" s="2"/>
    </row>
    <row r="19" spans="1:9" x14ac:dyDescent="0.25">
      <c r="A19" s="2" t="s">
        <v>206</v>
      </c>
    </row>
    <row r="20" spans="1:9" x14ac:dyDescent="0.25">
      <c r="A20" s="2" t="s">
        <v>198</v>
      </c>
      <c r="B20" s="2" t="s">
        <v>189</v>
      </c>
      <c r="C20" s="2" t="s">
        <v>113</v>
      </c>
      <c r="D20" s="2" t="s">
        <v>201</v>
      </c>
      <c r="E20" s="2" t="s">
        <v>124</v>
      </c>
      <c r="F20" s="2" t="s">
        <v>108</v>
      </c>
      <c r="G20" s="63" t="s">
        <v>204</v>
      </c>
      <c r="H20" s="63" t="s">
        <v>205</v>
      </c>
      <c r="I20" s="63" t="s">
        <v>108</v>
      </c>
    </row>
    <row r="21" spans="1:9" x14ac:dyDescent="0.25">
      <c r="A21" s="2" t="s">
        <v>57</v>
      </c>
      <c r="B21">
        <v>74.290000000000006</v>
      </c>
      <c r="C21">
        <v>50</v>
      </c>
      <c r="D21">
        <f>C21*B21</f>
        <v>3714.5000000000005</v>
      </c>
      <c r="E21" s="157">
        <f>AVERAGE(D21:D22)</f>
        <v>3709</v>
      </c>
      <c r="F21" s="159">
        <f>_xlfn.STDEV.P(D21:D22)</f>
        <v>5.5000000000004547</v>
      </c>
      <c r="G21" s="66">
        <f>O5/D21</f>
        <v>0.43524669897761686</v>
      </c>
      <c r="H21" s="163">
        <f t="shared" ref="H21" si="25">AVERAGE(G21:G22)</f>
        <v>0.44140314184864249</v>
      </c>
      <c r="I21" s="163">
        <f>_xlfn.STDEV.P(G21:G22)</f>
        <v>6.1564428710256247E-3</v>
      </c>
    </row>
    <row r="22" spans="1:9" x14ac:dyDescent="0.25">
      <c r="A22" s="2" t="s">
        <v>58</v>
      </c>
      <c r="B22">
        <v>74.069999999999993</v>
      </c>
      <c r="C22">
        <v>50</v>
      </c>
      <c r="D22">
        <f t="shared" ref="D22:D25" si="26">C22*B22</f>
        <v>3703.4999999999995</v>
      </c>
      <c r="E22" s="158"/>
      <c r="F22" s="160"/>
      <c r="G22" s="66">
        <f>O6/D22</f>
        <v>0.44755958471966811</v>
      </c>
      <c r="H22" s="162"/>
      <c r="I22" s="162"/>
    </row>
    <row r="23" spans="1:9" x14ac:dyDescent="0.25">
      <c r="A23" s="2" t="s">
        <v>60</v>
      </c>
      <c r="B23">
        <v>84.68</v>
      </c>
      <c r="C23">
        <v>50</v>
      </c>
      <c r="D23">
        <f t="shared" si="26"/>
        <v>4234</v>
      </c>
      <c r="E23" s="157">
        <f t="shared" ref="E23" si="27">AVERAGE(D23:D24)</f>
        <v>4315.25</v>
      </c>
      <c r="F23" s="159">
        <f>_xlfn.STDEV.P(D23:D24)</f>
        <v>81.25</v>
      </c>
      <c r="G23" s="66">
        <f t="shared" ref="G23:G32" si="28">O7/D23</f>
        <v>0.77591588994387806</v>
      </c>
      <c r="H23" s="161">
        <f t="shared" ref="H23" si="29">AVERAGE(G23:G24)</f>
        <v>0.77345794298141479</v>
      </c>
      <c r="I23" s="161">
        <f t="shared" ref="I23" si="30">_xlfn.STDEV.P(G23:G24)</f>
        <v>2.4579469624632644E-3</v>
      </c>
    </row>
    <row r="24" spans="1:9" x14ac:dyDescent="0.25">
      <c r="A24" s="2" t="s">
        <v>61</v>
      </c>
      <c r="B24">
        <v>87.93</v>
      </c>
      <c r="C24">
        <v>50</v>
      </c>
      <c r="D24">
        <f t="shared" si="26"/>
        <v>4396.5</v>
      </c>
      <c r="E24" s="158"/>
      <c r="F24" s="160"/>
      <c r="G24" s="66">
        <f t="shared" si="28"/>
        <v>0.77099999601895153</v>
      </c>
      <c r="H24" s="162"/>
      <c r="I24" s="162"/>
    </row>
    <row r="25" spans="1:9" x14ac:dyDescent="0.25">
      <c r="A25" s="2" t="s">
        <v>63</v>
      </c>
      <c r="B25">
        <v>86.22</v>
      </c>
      <c r="C25">
        <v>50</v>
      </c>
      <c r="D25">
        <f t="shared" si="26"/>
        <v>4311</v>
      </c>
      <c r="E25" s="157">
        <f t="shared" ref="E25" si="31">AVERAGE(D25:D26)</f>
        <v>4190.5</v>
      </c>
      <c r="F25" s="159">
        <f>_xlfn.STDEV.P(D25:D26)</f>
        <v>120.49999999999977</v>
      </c>
      <c r="G25" s="66">
        <f t="shared" si="28"/>
        <v>0.71863328299361684</v>
      </c>
      <c r="H25" s="161">
        <f t="shared" ref="H25" si="32">AVERAGE(G25:G26)</f>
        <v>0.7544294121470303</v>
      </c>
      <c r="I25" s="161">
        <f t="shared" ref="I25" si="33">_xlfn.STDEV.P(G25:G26)</f>
        <v>3.5796129153413458E-2</v>
      </c>
    </row>
    <row r="26" spans="1:9" x14ac:dyDescent="0.25">
      <c r="A26" s="2" t="s">
        <v>64</v>
      </c>
      <c r="B26">
        <v>81.400000000000006</v>
      </c>
      <c r="C26">
        <v>50</v>
      </c>
      <c r="D26">
        <f>C26*B26</f>
        <v>4070.0000000000005</v>
      </c>
      <c r="E26" s="158"/>
      <c r="F26" s="160"/>
      <c r="G26" s="66">
        <f t="shared" si="28"/>
        <v>0.79022554130044376</v>
      </c>
      <c r="H26" s="162"/>
      <c r="I26" s="162"/>
    </row>
    <row r="27" spans="1:9" x14ac:dyDescent="0.25">
      <c r="A27" s="2" t="s">
        <v>66</v>
      </c>
      <c r="B27">
        <v>51.56</v>
      </c>
      <c r="C27">
        <v>50</v>
      </c>
      <c r="D27">
        <f t="shared" ref="D27:D30" si="34">C27*B27</f>
        <v>2578</v>
      </c>
      <c r="E27" s="157">
        <f t="shared" ref="E27" si="35">AVERAGE(D27:D28)</f>
        <v>2461.75</v>
      </c>
      <c r="F27" s="159">
        <f t="shared" ref="F27" si="36">_xlfn.STDEV.P(D27:D28)</f>
        <v>116.25</v>
      </c>
      <c r="G27" s="66">
        <f t="shared" si="28"/>
        <v>0.70066643839172316</v>
      </c>
      <c r="H27" s="161">
        <f t="shared" ref="H27" si="37">AVERAGE(G27:G28)</f>
        <v>0.72308011248670756</v>
      </c>
      <c r="I27" s="161">
        <f t="shared" ref="I27" si="38">_xlfn.STDEV.P(G27:G28)</f>
        <v>2.2413674094984404E-2</v>
      </c>
    </row>
    <row r="28" spans="1:9" x14ac:dyDescent="0.25">
      <c r="A28" s="2" t="s">
        <v>67</v>
      </c>
      <c r="B28">
        <v>46.91</v>
      </c>
      <c r="C28">
        <v>50</v>
      </c>
      <c r="D28">
        <f t="shared" si="34"/>
        <v>2345.5</v>
      </c>
      <c r="E28" s="158"/>
      <c r="F28" s="160"/>
      <c r="G28" s="66">
        <f t="shared" si="28"/>
        <v>0.74549378658169196</v>
      </c>
      <c r="H28" s="162"/>
      <c r="I28" s="162"/>
    </row>
    <row r="29" spans="1:9" x14ac:dyDescent="0.25">
      <c r="A29" s="2" t="s">
        <v>69</v>
      </c>
      <c r="B29">
        <v>54.38</v>
      </c>
      <c r="C29">
        <v>50</v>
      </c>
      <c r="D29">
        <f t="shared" si="34"/>
        <v>2719</v>
      </c>
      <c r="E29" s="157">
        <f t="shared" ref="E29" si="39">AVERAGE(D29:D30)</f>
        <v>3425.5</v>
      </c>
      <c r="F29" s="159">
        <f t="shared" ref="F29" si="40">_xlfn.STDEV.P(D29:D30)</f>
        <v>706.5</v>
      </c>
      <c r="G29" s="66">
        <f t="shared" si="28"/>
        <v>1.1927606783466409</v>
      </c>
      <c r="H29" s="161">
        <f t="shared" ref="H29" si="41">AVERAGE(G29:G30)</f>
        <v>0.9853571890208741</v>
      </c>
      <c r="I29" s="161">
        <f t="shared" ref="I29" si="42">_xlfn.STDEV.P(G29:G30)</f>
        <v>0.20740348932576691</v>
      </c>
    </row>
    <row r="30" spans="1:9" x14ac:dyDescent="0.25">
      <c r="A30" s="2" t="s">
        <v>70</v>
      </c>
      <c r="B30">
        <v>82.64</v>
      </c>
      <c r="C30">
        <v>50</v>
      </c>
      <c r="D30">
        <f t="shared" si="34"/>
        <v>4132</v>
      </c>
      <c r="E30" s="158"/>
      <c r="F30" s="160"/>
      <c r="G30" s="66">
        <f t="shared" si="28"/>
        <v>0.77795369969510741</v>
      </c>
      <c r="H30" s="162"/>
      <c r="I30" s="162"/>
    </row>
    <row r="31" spans="1:9" x14ac:dyDescent="0.25">
      <c r="A31" s="2" t="s">
        <v>72</v>
      </c>
      <c r="B31">
        <v>82.89</v>
      </c>
      <c r="C31">
        <v>50</v>
      </c>
      <c r="D31" t="e">
        <f>C31*#REF!</f>
        <v>#REF!</v>
      </c>
      <c r="E31" s="157" t="e">
        <f t="shared" ref="E31" si="43">AVERAGE(D31:D32)</f>
        <v>#REF!</v>
      </c>
      <c r="F31" s="159" t="e">
        <f t="shared" ref="F31" si="44">_xlfn.STDEV.P(D31:D32)</f>
        <v>#REF!</v>
      </c>
      <c r="G31" s="66" t="e">
        <f t="shared" si="28"/>
        <v>#REF!</v>
      </c>
      <c r="H31" s="161" t="e">
        <f t="shared" ref="H31" si="45">AVERAGE(G31:G32)</f>
        <v>#REF!</v>
      </c>
      <c r="I31" s="161" t="e">
        <f t="shared" ref="I31" si="46">_xlfn.STDEV.P(G31:G32)</f>
        <v>#REF!</v>
      </c>
    </row>
    <row r="32" spans="1:9" x14ac:dyDescent="0.25">
      <c r="A32" s="2" t="s">
        <v>73</v>
      </c>
      <c r="B32">
        <v>87.1</v>
      </c>
      <c r="C32">
        <v>50</v>
      </c>
      <c r="D32">
        <f>C32*B31</f>
        <v>4144.5</v>
      </c>
      <c r="E32" s="158"/>
      <c r="F32" s="160"/>
      <c r="G32" s="66">
        <f t="shared" si="28"/>
        <v>0.79835618664020203</v>
      </c>
      <c r="H32" s="162"/>
      <c r="I32" s="162"/>
    </row>
  </sheetData>
  <mergeCells count="56">
    <mergeCell ref="B3:E3"/>
    <mergeCell ref="F3:H3"/>
    <mergeCell ref="K5:K6"/>
    <mergeCell ref="L5:L6"/>
    <mergeCell ref="Q5:Q6"/>
    <mergeCell ref="S5:S6"/>
    <mergeCell ref="K7:K8"/>
    <mergeCell ref="L7:L8"/>
    <mergeCell ref="Q7:Q8"/>
    <mergeCell ref="R7:R8"/>
    <mergeCell ref="S7:S8"/>
    <mergeCell ref="R5:R6"/>
    <mergeCell ref="K11:K12"/>
    <mergeCell ref="L11:L12"/>
    <mergeCell ref="Q11:Q12"/>
    <mergeCell ref="R11:R12"/>
    <mergeCell ref="S11:S12"/>
    <mergeCell ref="K9:K10"/>
    <mergeCell ref="L9:L10"/>
    <mergeCell ref="Q9:Q10"/>
    <mergeCell ref="R9:R10"/>
    <mergeCell ref="S9:S10"/>
    <mergeCell ref="K15:K16"/>
    <mergeCell ref="L15:L16"/>
    <mergeCell ref="Q15:Q16"/>
    <mergeCell ref="R15:R16"/>
    <mergeCell ref="S15:S16"/>
    <mergeCell ref="K13:K14"/>
    <mergeCell ref="L13:L14"/>
    <mergeCell ref="Q13:Q14"/>
    <mergeCell ref="R13:R14"/>
    <mergeCell ref="S13:S14"/>
    <mergeCell ref="E21:E22"/>
    <mergeCell ref="F21:F22"/>
    <mergeCell ref="H21:H22"/>
    <mergeCell ref="I21:I22"/>
    <mergeCell ref="E23:E24"/>
    <mergeCell ref="F23:F24"/>
    <mergeCell ref="H23:H24"/>
    <mergeCell ref="I23:I24"/>
    <mergeCell ref="E25:E26"/>
    <mergeCell ref="F25:F26"/>
    <mergeCell ref="H25:H26"/>
    <mergeCell ref="I25:I26"/>
    <mergeCell ref="E27:E28"/>
    <mergeCell ref="F27:F28"/>
    <mergeCell ref="H27:H28"/>
    <mergeCell ref="I27:I28"/>
    <mergeCell ref="E29:E30"/>
    <mergeCell ref="F29:F30"/>
    <mergeCell ref="H29:H30"/>
    <mergeCell ref="I29:I30"/>
    <mergeCell ref="E31:E32"/>
    <mergeCell ref="F31:F32"/>
    <mergeCell ref="H31:H32"/>
    <mergeCell ref="I31:I32"/>
  </mergeCells>
  <pageMargins left="0.7" right="0.7" top="0.75" bottom="0.75" header="0.3" footer="0.3"/>
  <pageSetup paperSize="9" orientation="portrait" r:id="rId1"/>
  <headerFooter>
    <oddHeader>&amp;R&amp;"Calibri"&amp;10&amp;K000000 PUBLIC / CYHOEDDUS&amp;1#_x000D_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F5D16-F341-4F75-A678-55BF0D9E3833}">
  <dimension ref="A1:M49"/>
  <sheetViews>
    <sheetView workbookViewId="0">
      <selection activeCell="D24" sqref="D24"/>
    </sheetView>
  </sheetViews>
  <sheetFormatPr defaultRowHeight="15" x14ac:dyDescent="0.25"/>
  <cols>
    <col min="1" max="1" width="11" customWidth="1"/>
    <col min="2" max="2" width="13" customWidth="1"/>
    <col min="3" max="3" width="17.5703125" customWidth="1"/>
    <col min="4" max="4" width="13.85546875" customWidth="1"/>
    <col min="5" max="5" width="17.5703125" customWidth="1"/>
    <col min="6" max="6" width="14.7109375" customWidth="1"/>
    <col min="7" max="7" width="16.28515625" customWidth="1"/>
    <col min="8" max="8" width="13.7109375" customWidth="1"/>
    <col min="10" max="10" width="12.42578125" customWidth="1"/>
    <col min="12" max="12" width="10" customWidth="1"/>
    <col min="13" max="13" width="11.7109375" customWidth="1"/>
    <col min="14" max="14" width="20" customWidth="1"/>
  </cols>
  <sheetData>
    <row r="1" spans="1:7" x14ac:dyDescent="0.25">
      <c r="A1" t="s">
        <v>172</v>
      </c>
    </row>
    <row r="2" spans="1:7" x14ac:dyDescent="0.25">
      <c r="A2" t="s">
        <v>135</v>
      </c>
      <c r="B2">
        <v>50</v>
      </c>
      <c r="C2" s="2" t="s">
        <v>173</v>
      </c>
      <c r="E2" t="s">
        <v>135</v>
      </c>
      <c r="F2">
        <v>50</v>
      </c>
      <c r="G2" s="2" t="s">
        <v>173</v>
      </c>
    </row>
    <row r="3" spans="1:7" x14ac:dyDescent="0.25">
      <c r="A3" t="s">
        <v>174</v>
      </c>
      <c r="B3">
        <v>20</v>
      </c>
      <c r="C3">
        <f>B2/B3</f>
        <v>2.5</v>
      </c>
      <c r="E3" t="s">
        <v>174</v>
      </c>
      <c r="F3">
        <v>32</v>
      </c>
      <c r="G3">
        <f>F2/F3</f>
        <v>1.5625</v>
      </c>
    </row>
    <row r="5" spans="1:7" x14ac:dyDescent="0.25">
      <c r="B5" s="155" t="s">
        <v>175</v>
      </c>
      <c r="C5" s="155"/>
      <c r="E5" s="155" t="s">
        <v>176</v>
      </c>
      <c r="F5" s="155"/>
    </row>
    <row r="6" spans="1:7" ht="31.15" customHeight="1" x14ac:dyDescent="0.25">
      <c r="A6" s="49" t="s">
        <v>177</v>
      </c>
      <c r="B6" s="50" t="s">
        <v>178</v>
      </c>
      <c r="C6" s="50" t="s">
        <v>179</v>
      </c>
      <c r="D6" s="49" t="s">
        <v>177</v>
      </c>
      <c r="E6" s="50" t="s">
        <v>178</v>
      </c>
      <c r="F6" s="50" t="s">
        <v>179</v>
      </c>
    </row>
    <row r="7" spans="1:7" x14ac:dyDescent="0.25">
      <c r="A7">
        <f>B7*$C$3</f>
        <v>195.92500000000001</v>
      </c>
      <c r="B7" s="51">
        <v>78.37</v>
      </c>
      <c r="C7" s="51">
        <v>50</v>
      </c>
      <c r="D7">
        <f>E7*$G$3</f>
        <v>9.3921875000000004</v>
      </c>
      <c r="E7" s="51">
        <v>6.0110000000000001</v>
      </c>
      <c r="F7" s="51">
        <v>4</v>
      </c>
    </row>
    <row r="8" spans="1:7" x14ac:dyDescent="0.25">
      <c r="A8">
        <f t="shared" ref="A8:A18" si="0">B8*$C$3</f>
        <v>187.67499999999998</v>
      </c>
      <c r="B8" s="51">
        <v>75.069999999999993</v>
      </c>
      <c r="C8" s="51">
        <v>50</v>
      </c>
      <c r="D8">
        <f>E8*$G$3</f>
        <v>9.2687500000000007</v>
      </c>
      <c r="E8" s="51">
        <v>5.9320000000000004</v>
      </c>
      <c r="F8" s="51">
        <v>4</v>
      </c>
    </row>
    <row r="9" spans="1:7" x14ac:dyDescent="0.25">
      <c r="A9">
        <f t="shared" si="0"/>
        <v>398</v>
      </c>
      <c r="B9" s="51">
        <v>159.19999999999999</v>
      </c>
      <c r="C9" s="51">
        <v>100</v>
      </c>
      <c r="D9">
        <f>E9*$G$3</f>
        <v>18.3125</v>
      </c>
      <c r="E9" s="51">
        <v>11.72</v>
      </c>
      <c r="F9" s="51">
        <v>8</v>
      </c>
    </row>
    <row r="10" spans="1:7" x14ac:dyDescent="0.25">
      <c r="A10">
        <f t="shared" si="0"/>
        <v>0</v>
      </c>
      <c r="B10" s="51"/>
      <c r="C10" s="51"/>
      <c r="D10">
        <f t="shared" ref="D10:D17" si="1">E10*$G$3</f>
        <v>18.8125</v>
      </c>
      <c r="E10" s="51">
        <v>12.04</v>
      </c>
      <c r="F10" s="51">
        <v>8</v>
      </c>
    </row>
    <row r="11" spans="1:7" x14ac:dyDescent="0.25">
      <c r="A11">
        <f t="shared" si="0"/>
        <v>392.75</v>
      </c>
      <c r="B11" s="51">
        <v>157.1</v>
      </c>
      <c r="C11" s="51">
        <v>100</v>
      </c>
      <c r="D11">
        <f t="shared" si="1"/>
        <v>46.796875</v>
      </c>
      <c r="E11" s="51">
        <v>29.95</v>
      </c>
      <c r="F11" s="51">
        <v>20</v>
      </c>
    </row>
    <row r="12" spans="1:7" x14ac:dyDescent="0.25">
      <c r="A12">
        <f t="shared" si="0"/>
        <v>827.25</v>
      </c>
      <c r="B12" s="51">
        <v>330.9</v>
      </c>
      <c r="C12" s="51">
        <v>200</v>
      </c>
      <c r="D12">
        <f t="shared" si="1"/>
        <v>46.8125</v>
      </c>
      <c r="E12" s="51">
        <v>29.96</v>
      </c>
      <c r="F12" s="51">
        <v>20</v>
      </c>
    </row>
    <row r="13" spans="1:7" x14ac:dyDescent="0.25">
      <c r="A13">
        <f t="shared" si="0"/>
        <v>822.75</v>
      </c>
      <c r="B13" s="51">
        <v>329.1</v>
      </c>
      <c r="C13" s="51">
        <v>200</v>
      </c>
      <c r="D13">
        <f t="shared" si="1"/>
        <v>238.125</v>
      </c>
      <c r="E13" s="51">
        <v>152.4</v>
      </c>
      <c r="F13" s="51">
        <v>100</v>
      </c>
    </row>
    <row r="14" spans="1:7" x14ac:dyDescent="0.25">
      <c r="A14">
        <f t="shared" si="0"/>
        <v>2145.75</v>
      </c>
      <c r="B14" s="51">
        <v>858.3</v>
      </c>
      <c r="C14" s="51">
        <v>500</v>
      </c>
      <c r="D14">
        <f t="shared" si="1"/>
        <v>237.34375</v>
      </c>
      <c r="E14" s="51">
        <v>151.9</v>
      </c>
      <c r="F14" s="51">
        <v>100</v>
      </c>
    </row>
    <row r="15" spans="1:7" x14ac:dyDescent="0.25">
      <c r="A15">
        <f t="shared" si="0"/>
        <v>2082.75</v>
      </c>
      <c r="B15" s="51">
        <v>833.1</v>
      </c>
      <c r="C15" s="51">
        <v>500</v>
      </c>
      <c r="D15">
        <f t="shared" si="1"/>
        <v>485.78124999999994</v>
      </c>
      <c r="E15" s="51">
        <v>310.89999999999998</v>
      </c>
      <c r="F15" s="51">
        <v>200</v>
      </c>
    </row>
    <row r="16" spans="1:7" x14ac:dyDescent="0.25">
      <c r="A16">
        <f t="shared" si="0"/>
        <v>4600</v>
      </c>
      <c r="B16" s="51">
        <v>1840</v>
      </c>
      <c r="C16" s="51">
        <v>1000</v>
      </c>
      <c r="D16">
        <f t="shared" si="1"/>
        <v>488.12499999999994</v>
      </c>
      <c r="E16" s="51">
        <v>312.39999999999998</v>
      </c>
      <c r="F16" s="51">
        <v>200</v>
      </c>
    </row>
    <row r="17" spans="1:13" x14ac:dyDescent="0.25">
      <c r="A17">
        <f t="shared" si="0"/>
        <v>4405</v>
      </c>
      <c r="B17" s="51">
        <v>1762</v>
      </c>
      <c r="C17" s="51">
        <v>1000</v>
      </c>
      <c r="D17">
        <f t="shared" si="1"/>
        <v>0</v>
      </c>
      <c r="E17" s="51"/>
      <c r="F17" s="51"/>
    </row>
    <row r="18" spans="1:13" x14ac:dyDescent="0.25">
      <c r="A18">
        <f t="shared" si="0"/>
        <v>0</v>
      </c>
      <c r="B18" s="51"/>
      <c r="C18" s="51"/>
      <c r="D18">
        <f>E18*$G$3</f>
        <v>0</v>
      </c>
      <c r="E18" s="51"/>
      <c r="F18" s="51"/>
    </row>
    <row r="20" spans="1:13" x14ac:dyDescent="0.25">
      <c r="B20" s="52" t="s">
        <v>180</v>
      </c>
      <c r="C20" s="52" t="s">
        <v>181</v>
      </c>
      <c r="E20" s="52" t="s">
        <v>180</v>
      </c>
      <c r="F20" s="52" t="s">
        <v>181</v>
      </c>
    </row>
    <row r="21" spans="1:13" x14ac:dyDescent="0.25">
      <c r="B21" s="53">
        <f>SLOPE(A7:A18, C7:C18)</f>
        <v>4.5356800161812298</v>
      </c>
      <c r="C21" s="53">
        <f>INTERCEPT(A7:A18,C7:C18)</f>
        <v>-72.416605987054936</v>
      </c>
      <c r="E21" s="53">
        <f>SLOPE(D7:D18, F7:F18)</f>
        <v>2.4338426932112309</v>
      </c>
      <c r="F21" s="53">
        <f>INTERCEPT(D7:D18,F7:F18)</f>
        <v>-1.730123579225733</v>
      </c>
    </row>
    <row r="28" spans="1:13" x14ac:dyDescent="0.25">
      <c r="B28" s="156" t="s">
        <v>207</v>
      </c>
      <c r="C28" s="156"/>
      <c r="D28" s="156"/>
      <c r="E28" s="156"/>
      <c r="F28" s="156"/>
      <c r="G28" s="156"/>
      <c r="H28" s="156"/>
    </row>
    <row r="29" spans="1:13" x14ac:dyDescent="0.25">
      <c r="B29" s="155" t="s">
        <v>175</v>
      </c>
      <c r="C29" s="155"/>
      <c r="D29" s="48"/>
      <c r="E29" s="48"/>
      <c r="G29" s="155" t="s">
        <v>176</v>
      </c>
      <c r="H29" s="155"/>
      <c r="L29" t="s">
        <v>182</v>
      </c>
      <c r="M29" t="s">
        <v>183</v>
      </c>
    </row>
    <row r="30" spans="1:13" x14ac:dyDescent="0.25">
      <c r="B30" s="2" t="s">
        <v>187</v>
      </c>
      <c r="C30" s="2" t="s">
        <v>184</v>
      </c>
      <c r="D30" s="2" t="s">
        <v>185</v>
      </c>
      <c r="E30" s="2" t="s">
        <v>186</v>
      </c>
      <c r="F30" s="2"/>
      <c r="G30" s="2" t="s">
        <v>187</v>
      </c>
      <c r="H30" s="2" t="s">
        <v>184</v>
      </c>
      <c r="I30" s="2" t="s">
        <v>188</v>
      </c>
      <c r="J30" s="2" t="s">
        <v>186</v>
      </c>
      <c r="K30" s="2"/>
      <c r="L30" s="54" t="s">
        <v>189</v>
      </c>
      <c r="M30" s="55" t="s">
        <v>190</v>
      </c>
    </row>
    <row r="31" spans="1:13" x14ac:dyDescent="0.25">
      <c r="A31" t="s">
        <v>191</v>
      </c>
      <c r="B31" s="56">
        <f>318.8*6*12.01/180.16</f>
        <v>127.51292184724691</v>
      </c>
      <c r="C31">
        <v>587.29999999999995</v>
      </c>
      <c r="D31">
        <v>1</v>
      </c>
      <c r="E31">
        <f>(C31-$C$21)/$B$21*D31</f>
        <v>145.45042940275505</v>
      </c>
      <c r="G31">
        <v>0</v>
      </c>
      <c r="H31">
        <v>1.252</v>
      </c>
      <c r="I31">
        <v>1</v>
      </c>
      <c r="J31">
        <f>IF((H31-$F$21)/$E$21*I31&lt;0,0,(H31-$F$21)/$E$21*I31)</f>
        <v>1.2252737564115517</v>
      </c>
      <c r="L31" s="57">
        <f>E31-J31</f>
        <v>144.2251556463435</v>
      </c>
      <c r="M31" s="58">
        <v>138.80000000000001</v>
      </c>
    </row>
    <row r="32" spans="1:13" x14ac:dyDescent="0.25">
      <c r="A32" t="s">
        <v>191</v>
      </c>
      <c r="B32" s="56">
        <f>318.8*6*12.01/180.16</f>
        <v>127.51292184724691</v>
      </c>
      <c r="C32">
        <v>582.29999999999995</v>
      </c>
      <c r="D32">
        <v>1</v>
      </c>
      <c r="E32">
        <f t="shared" ref="E32:E34" si="2">(C32-$C$21)/$B$21*D32</f>
        <v>144.34805886908376</v>
      </c>
      <c r="G32">
        <v>0</v>
      </c>
      <c r="H32">
        <v>1.194</v>
      </c>
      <c r="I32">
        <v>1</v>
      </c>
      <c r="J32">
        <f t="shared" ref="J32:J34" si="3">IF((H32-$F$21)/$E$21*I32&lt;0,0,(H32-$F$21)/$E$21*I32)</f>
        <v>1.2014431283427038</v>
      </c>
      <c r="L32" s="57">
        <f t="shared" ref="L32:L34" si="4">E32-J32</f>
        <v>143.14661574074105</v>
      </c>
      <c r="M32" s="58">
        <v>138.80000000000001</v>
      </c>
    </row>
    <row r="33" spans="1:13" x14ac:dyDescent="0.25">
      <c r="A33" t="s">
        <v>142</v>
      </c>
      <c r="B33" s="56">
        <f>298.2*2*12.01/60.05</f>
        <v>119.27999999999999</v>
      </c>
      <c r="C33">
        <v>474.7</v>
      </c>
      <c r="D33">
        <v>1</v>
      </c>
      <c r="E33">
        <f t="shared" si="2"/>
        <v>120.62504498447717</v>
      </c>
      <c r="G33">
        <v>0</v>
      </c>
      <c r="H33">
        <v>0.98919999999999997</v>
      </c>
      <c r="I33">
        <v>1</v>
      </c>
      <c r="J33">
        <f t="shared" si="3"/>
        <v>1.1172963588858063</v>
      </c>
      <c r="L33" s="57">
        <f t="shared" si="4"/>
        <v>119.50774862559136</v>
      </c>
      <c r="M33" s="58">
        <v>114.8</v>
      </c>
    </row>
    <row r="34" spans="1:13" x14ac:dyDescent="0.25">
      <c r="A34" t="s">
        <v>142</v>
      </c>
      <c r="B34" s="56">
        <f>298.2*2*12.01/60.05</f>
        <v>119.27999999999999</v>
      </c>
      <c r="C34">
        <v>473</v>
      </c>
      <c r="D34">
        <v>1</v>
      </c>
      <c r="E34">
        <f t="shared" si="2"/>
        <v>120.25023900302891</v>
      </c>
      <c r="G34">
        <v>0</v>
      </c>
      <c r="H34">
        <v>1.0760000000000001</v>
      </c>
      <c r="I34">
        <v>1</v>
      </c>
      <c r="J34">
        <f t="shared" si="3"/>
        <v>1.1529601264095306</v>
      </c>
      <c r="L34" s="57">
        <f t="shared" si="4"/>
        <v>119.09727887661938</v>
      </c>
      <c r="M34" s="58">
        <v>114.8</v>
      </c>
    </row>
    <row r="35" spans="1:13" x14ac:dyDescent="0.25">
      <c r="G35" s="59"/>
    </row>
    <row r="37" spans="1:13" x14ac:dyDescent="0.25">
      <c r="B37" s="156" t="s">
        <v>192</v>
      </c>
      <c r="C37" s="156"/>
      <c r="D37" s="156"/>
      <c r="E37" s="156"/>
      <c r="F37" s="156"/>
      <c r="G37" s="156"/>
      <c r="H37" s="156"/>
    </row>
    <row r="38" spans="1:13" x14ac:dyDescent="0.25">
      <c r="B38" s="155" t="s">
        <v>175</v>
      </c>
      <c r="C38" s="155"/>
      <c r="G38" s="155" t="s">
        <v>176</v>
      </c>
      <c r="H38" s="155"/>
    </row>
    <row r="39" spans="1:13" x14ac:dyDescent="0.25">
      <c r="B39" s="2" t="s">
        <v>178</v>
      </c>
      <c r="C39" s="2" t="s">
        <v>193</v>
      </c>
      <c r="G39" s="2" t="s">
        <v>178</v>
      </c>
      <c r="H39" s="2" t="s">
        <v>195</v>
      </c>
    </row>
    <row r="40" spans="1:13" x14ac:dyDescent="0.25">
      <c r="B40">
        <v>0.12609999999999999</v>
      </c>
      <c r="C40" s="39">
        <f>(B40-$C$21)/$B$21</f>
        <v>15.993788302582141</v>
      </c>
      <c r="G40">
        <v>0.67869999999999997</v>
      </c>
      <c r="H40">
        <f>IF((F40-$F$21)/$E$21*G40&lt;0,0,(F40-$F$21)/$E$21*G40)</f>
        <v>0.48246128498601126</v>
      </c>
    </row>
    <row r="41" spans="1:13" x14ac:dyDescent="0.25">
      <c r="B41">
        <v>0.1517</v>
      </c>
      <c r="C41" s="39">
        <f>(B41-$C$21)/$B$21</f>
        <v>15.999432439714541</v>
      </c>
      <c r="G41">
        <v>0.627</v>
      </c>
      <c r="H41">
        <f t="shared" ref="H41:H43" si="5">IF((F41-$F$21)/$E$21*G41&lt;0,0,(F41-$F$21)/$E$21*G41)</f>
        <v>0.44570977705352743</v>
      </c>
    </row>
    <row r="42" spans="1:13" x14ac:dyDescent="0.25">
      <c r="B42">
        <v>0.15010000000000001</v>
      </c>
      <c r="C42" s="39">
        <f t="shared" ref="C42:C43" si="6">(B42-$C$21)/$B$21</f>
        <v>15.999079681143764</v>
      </c>
      <c r="H42">
        <f t="shared" si="5"/>
        <v>0</v>
      </c>
    </row>
    <row r="43" spans="1:13" x14ac:dyDescent="0.25">
      <c r="B43">
        <v>0.1003</v>
      </c>
      <c r="C43" s="39">
        <f t="shared" si="6"/>
        <v>15.9881000706284</v>
      </c>
      <c r="H43">
        <f t="shared" si="5"/>
        <v>0</v>
      </c>
    </row>
    <row r="44" spans="1:13" x14ac:dyDescent="0.25">
      <c r="C44" s="39"/>
      <c r="H44" s="39"/>
    </row>
    <row r="45" spans="1:13" x14ac:dyDescent="0.25">
      <c r="C45" s="39"/>
      <c r="H45" s="39"/>
    </row>
    <row r="46" spans="1:13" x14ac:dyDescent="0.25">
      <c r="C46" s="39"/>
      <c r="G46" s="2" t="s">
        <v>39</v>
      </c>
      <c r="H46" s="60">
        <f>AVERAGE(H40:H45)</f>
        <v>0.23204276550988467</v>
      </c>
      <c r="I46" s="2" t="s">
        <v>168</v>
      </c>
    </row>
    <row r="47" spans="1:13" x14ac:dyDescent="0.25">
      <c r="B47" s="2" t="s">
        <v>39</v>
      </c>
      <c r="C47" s="60">
        <f>AVERAGE(C40:C46)</f>
        <v>15.995100123517211</v>
      </c>
      <c r="D47" s="2" t="s">
        <v>168</v>
      </c>
    </row>
    <row r="49" spans="3:5" x14ac:dyDescent="0.25">
      <c r="C49" s="61" t="s">
        <v>190</v>
      </c>
      <c r="D49" s="62">
        <f>C47-H46</f>
        <v>15.763057358007327</v>
      </c>
      <c r="E49" s="2" t="s">
        <v>168</v>
      </c>
    </row>
  </sheetData>
  <mergeCells count="8">
    <mergeCell ref="B38:C38"/>
    <mergeCell ref="G38:H38"/>
    <mergeCell ref="B5:C5"/>
    <mergeCell ref="E5:F5"/>
    <mergeCell ref="B28:H28"/>
    <mergeCell ref="B29:C29"/>
    <mergeCell ref="G29:H29"/>
    <mergeCell ref="B37:H37"/>
  </mergeCells>
  <pageMargins left="0.7" right="0.7" top="0.75" bottom="0.75" header="0.3" footer="0.3"/>
  <pageSetup paperSize="9" orientation="portrait" r:id="rId1"/>
  <headerFooter>
    <oddHeader>&amp;R&amp;"Calibri"&amp;10&amp;K000000 PUBLIC / CYHOEDDUS&amp;1#_x000D_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6AFE0-0348-4C15-BF86-BA3796BC62A6}">
  <dimension ref="A3:X32"/>
  <sheetViews>
    <sheetView zoomScale="80" zoomScaleNormal="80" workbookViewId="0">
      <selection activeCell="P15" sqref="P15"/>
    </sheetView>
  </sheetViews>
  <sheetFormatPr defaultRowHeight="15" x14ac:dyDescent="0.25"/>
  <cols>
    <col min="4" max="4" width="11" customWidth="1"/>
    <col min="6" max="6" width="12.85546875" customWidth="1"/>
    <col min="8" max="8" width="12.42578125" customWidth="1"/>
    <col min="9" max="9" width="13.85546875" customWidth="1"/>
    <col min="10" max="10" width="15.140625" customWidth="1"/>
    <col min="11" max="11" width="11.7109375" customWidth="1"/>
    <col min="12" max="12" width="10.28515625" customWidth="1"/>
    <col min="13" max="13" width="13.7109375" customWidth="1"/>
    <col min="15" max="15" width="21.7109375" customWidth="1"/>
    <col min="16" max="16" width="15.85546875" customWidth="1"/>
    <col min="19" max="19" width="18.140625" customWidth="1"/>
  </cols>
  <sheetData>
    <row r="3" spans="1:24" x14ac:dyDescent="0.25">
      <c r="A3" s="2"/>
      <c r="B3" s="165" t="s">
        <v>178</v>
      </c>
      <c r="C3" s="165"/>
      <c r="D3" s="165"/>
      <c r="E3" s="165"/>
      <c r="F3" s="166" t="s">
        <v>196</v>
      </c>
      <c r="G3" s="166"/>
      <c r="H3" s="166"/>
      <c r="M3" t="s">
        <v>21</v>
      </c>
      <c r="O3" t="s">
        <v>197</v>
      </c>
    </row>
    <row r="4" spans="1:24" x14ac:dyDescent="0.25">
      <c r="A4" s="63" t="s">
        <v>198</v>
      </c>
      <c r="B4" s="63" t="s">
        <v>199</v>
      </c>
      <c r="C4" s="63" t="s">
        <v>199</v>
      </c>
      <c r="D4" s="63" t="s">
        <v>200</v>
      </c>
      <c r="E4" s="63" t="s">
        <v>200</v>
      </c>
      <c r="F4" s="63" t="s">
        <v>199</v>
      </c>
      <c r="G4" s="63" t="s">
        <v>200</v>
      </c>
      <c r="H4" s="64" t="s">
        <v>189</v>
      </c>
      <c r="I4" s="63" t="s">
        <v>113</v>
      </c>
      <c r="J4" s="63" t="s">
        <v>201</v>
      </c>
      <c r="K4" s="63" t="s">
        <v>124</v>
      </c>
      <c r="L4" s="63" t="s">
        <v>108</v>
      </c>
      <c r="M4" s="63" t="s">
        <v>202</v>
      </c>
      <c r="N4" s="63" t="s">
        <v>113</v>
      </c>
      <c r="O4" s="63" t="s">
        <v>203</v>
      </c>
      <c r="P4" s="63" t="s">
        <v>204</v>
      </c>
      <c r="Q4" s="63" t="s">
        <v>205</v>
      </c>
      <c r="R4" s="63" t="s">
        <v>108</v>
      </c>
    </row>
    <row r="5" spans="1:24" x14ac:dyDescent="0.25">
      <c r="A5" s="2" t="s">
        <v>57</v>
      </c>
      <c r="B5">
        <v>410.3</v>
      </c>
      <c r="C5">
        <v>403.4</v>
      </c>
      <c r="D5">
        <v>78.989999999999995</v>
      </c>
      <c r="E5">
        <v>79.62</v>
      </c>
      <c r="F5">
        <f>(AVERAGE(B5:C5)-'[1]TOC std day 36'!$C$21)/'[1]TOC std day 36'!$B$21</f>
        <v>97.947735974035197</v>
      </c>
      <c r="G5">
        <f>(AVERAGE(D5:E5)-'[1]TOC std day 36'!$F$21)/'[1]TOC std day 36'!$E$21</f>
        <v>24.271260235358312</v>
      </c>
      <c r="H5" s="65">
        <f>F5-G5</f>
        <v>73.676475738676885</v>
      </c>
      <c r="I5">
        <v>50</v>
      </c>
      <c r="J5">
        <f t="shared" ref="J5:J16" si="0">I5*H5</f>
        <v>3683.8237869338441</v>
      </c>
      <c r="K5" s="167">
        <f>AVERAGE(J5:J6)</f>
        <v>3631.6503765148018</v>
      </c>
      <c r="L5" s="168">
        <f>_xlfn.STDEV.P(J5:J6)</f>
        <v>52.173410419042057</v>
      </c>
      <c r="M5">
        <v>1.64303329215354</v>
      </c>
      <c r="N5">
        <v>1</v>
      </c>
      <c r="O5">
        <f>M5*N5*1000</f>
        <v>1643.0332921535401</v>
      </c>
      <c r="P5" s="66">
        <f>+O5/J5</f>
        <v>0.44601299822787815</v>
      </c>
      <c r="Q5" s="163">
        <f t="shared" ref="Q5" si="1">AVERAGE(P5:P6)</f>
        <v>0.4744754575843001</v>
      </c>
      <c r="R5" s="163">
        <f>_xlfn.STDEV.P(P5:P6)</f>
        <v>2.8462459356421971E-2</v>
      </c>
      <c r="S5" s="164" t="s">
        <v>84</v>
      </c>
      <c r="W5" s="43"/>
      <c r="X5" s="43"/>
    </row>
    <row r="6" spans="1:24" x14ac:dyDescent="0.25">
      <c r="A6" s="2" t="s">
        <v>58</v>
      </c>
      <c r="B6">
        <v>393.2</v>
      </c>
      <c r="C6">
        <v>389.2</v>
      </c>
      <c r="D6">
        <v>74.11</v>
      </c>
      <c r="E6">
        <v>74.56</v>
      </c>
      <c r="F6">
        <f>(AVERAGE(B6:C6)-'[1]TOC std day 36'!$C$21)/'[1]TOC std day 36'!$B$21</f>
        <v>94.841490081477261</v>
      </c>
      <c r="G6">
        <f>(AVERAGE(D6:E6)-'[1]TOC std day 36'!$F$21)/'[1]TOC std day 36'!$E$21</f>
        <v>23.251950759562067</v>
      </c>
      <c r="H6" s="65">
        <f>F6-G6</f>
        <v>71.589539321915197</v>
      </c>
      <c r="I6">
        <v>50</v>
      </c>
      <c r="J6">
        <f t="shared" si="0"/>
        <v>3579.47696609576</v>
      </c>
      <c r="K6" s="158"/>
      <c r="L6" s="160"/>
      <c r="M6">
        <v>1.8002546890654973</v>
      </c>
      <c r="N6">
        <v>1</v>
      </c>
      <c r="O6">
        <f t="shared" ref="O6:O8" si="2">M6*N6*1000</f>
        <v>1800.2546890654974</v>
      </c>
      <c r="P6" s="67">
        <f t="shared" ref="P6:P16" si="3">+O6/J6</f>
        <v>0.5029379169407221</v>
      </c>
      <c r="Q6" s="162"/>
      <c r="R6" s="162"/>
      <c r="S6" s="164"/>
      <c r="W6" s="43"/>
      <c r="X6" s="43"/>
    </row>
    <row r="7" spans="1:24" x14ac:dyDescent="0.25">
      <c r="A7" s="2" t="s">
        <v>60</v>
      </c>
      <c r="B7">
        <v>542.70000000000005</v>
      </c>
      <c r="C7">
        <v>544.1</v>
      </c>
      <c r="D7">
        <v>19.95</v>
      </c>
      <c r="E7">
        <v>20.2</v>
      </c>
      <c r="F7">
        <f>(AVERAGE(B7:C7)-'[1]TOC std day 36'!$C$21)/'[1]TOC std day 36'!$B$21</f>
        <v>125.05047569472438</v>
      </c>
      <c r="G7">
        <f>(AVERAGE(D7:E7)-'[1]TOC std day 36'!$F$21)/'[1]TOC std day 36'!$E$21</f>
        <v>12.123634430245293</v>
      </c>
      <c r="H7" s="65">
        <f>F7-G7</f>
        <v>112.92684126447909</v>
      </c>
      <c r="I7">
        <v>50</v>
      </c>
      <c r="J7">
        <f t="shared" si="0"/>
        <v>5646.3420632239549</v>
      </c>
      <c r="K7" s="157">
        <f t="shared" ref="K7" si="4">AVERAGE(J7:J8)</f>
        <v>5791.2162363546231</v>
      </c>
      <c r="L7" s="159">
        <f>_xlfn.STDEV.P(J7:J8)</f>
        <v>144.87417313066862</v>
      </c>
      <c r="M7">
        <v>4.6399358190358955</v>
      </c>
      <c r="N7">
        <v>1</v>
      </c>
      <c r="O7">
        <f t="shared" si="2"/>
        <v>4639.9358190358953</v>
      </c>
      <c r="P7" s="67">
        <f t="shared" si="3"/>
        <v>0.82175960419701877</v>
      </c>
      <c r="Q7" s="161">
        <f t="shared" ref="Q7" si="5">AVERAGE(P7:P8)</f>
        <v>0.85515579437441636</v>
      </c>
      <c r="R7" s="161">
        <f t="shared" ref="R7" si="6">_xlfn.STDEV.P(P7:P8)</f>
        <v>3.3396190177397589E-2</v>
      </c>
      <c r="S7" s="161" t="s">
        <v>85</v>
      </c>
      <c r="W7" s="43"/>
      <c r="X7" s="43"/>
    </row>
    <row r="8" spans="1:24" x14ac:dyDescent="0.25">
      <c r="A8" s="2" t="s">
        <v>61</v>
      </c>
      <c r="B8">
        <v>570.20000000000005</v>
      </c>
      <c r="C8">
        <v>568.70000000000005</v>
      </c>
      <c r="D8">
        <v>16.88</v>
      </c>
      <c r="E8">
        <v>17.18</v>
      </c>
      <c r="F8">
        <f>(AVERAGE(B8:C8)-'[1]TOC std day 36'!$C$21)/'[1]TOC std day 36'!$B$21</f>
        <v>130.2209361101323</v>
      </c>
      <c r="G8">
        <f>(AVERAGE(D8:E8)-'[1]TOC std day 36'!$F$21)/'[1]TOC std day 36'!$E$21</f>
        <v>11.499127920426465</v>
      </c>
      <c r="H8" s="65">
        <f>F8-G8</f>
        <v>118.72180818970584</v>
      </c>
      <c r="I8">
        <v>50</v>
      </c>
      <c r="J8">
        <f t="shared" si="0"/>
        <v>5936.0904094852922</v>
      </c>
      <c r="K8" s="158"/>
      <c r="L8" s="160"/>
      <c r="M8">
        <v>5.2745249138271468</v>
      </c>
      <c r="N8">
        <v>1</v>
      </c>
      <c r="O8">
        <f t="shared" si="2"/>
        <v>5274.5249138271465</v>
      </c>
      <c r="P8" s="67">
        <f t="shared" si="3"/>
        <v>0.88855198455181394</v>
      </c>
      <c r="Q8" s="162"/>
      <c r="R8" s="162"/>
      <c r="S8" s="162"/>
      <c r="W8" s="43"/>
      <c r="X8" s="43"/>
    </row>
    <row r="9" spans="1:24" x14ac:dyDescent="0.25">
      <c r="A9" s="2" t="s">
        <v>63</v>
      </c>
      <c r="B9">
        <v>516.1</v>
      </c>
      <c r="C9">
        <v>513.9</v>
      </c>
      <c r="D9">
        <v>18.8</v>
      </c>
      <c r="E9">
        <v>19.149999999999999</v>
      </c>
      <c r="F9">
        <f>(AVERAGE(B9:C9)-'[1]TOC std day 36'!$C$21)/'[1]TOC std day 36'!$B$21</f>
        <v>119.4135821900186</v>
      </c>
      <c r="G9">
        <f>(AVERAGE(D9:E9)-'[1]TOC std day 36'!$F$21)/'[1]TOC std day 36'!$E$21</f>
        <v>11.898032735401053</v>
      </c>
      <c r="H9" s="65">
        <f t="shared" ref="H9" si="7">F9-G9</f>
        <v>107.51554945461754</v>
      </c>
      <c r="I9">
        <v>50</v>
      </c>
      <c r="J9">
        <f t="shared" si="0"/>
        <v>5375.777472730877</v>
      </c>
      <c r="K9" s="157">
        <f t="shared" ref="K9" si="8">AVERAGE(J9:J10)</f>
        <v>5550.9324820904221</v>
      </c>
      <c r="L9" s="159">
        <f t="shared" ref="L9" si="9">_xlfn.STDEV.P(J9:J10)</f>
        <v>175.15500935954515</v>
      </c>
      <c r="M9">
        <v>4.2812266013281874</v>
      </c>
      <c r="N9">
        <v>1</v>
      </c>
      <c r="O9">
        <f>M9*N9*1000</f>
        <v>4281.2266013281878</v>
      </c>
      <c r="P9" s="67">
        <f t="shared" si="3"/>
        <v>0.79639207966570447</v>
      </c>
      <c r="Q9" s="161">
        <f t="shared" ref="Q9" si="10">AVERAGE(P9:P10)</f>
        <v>0.80167370312066644</v>
      </c>
      <c r="R9" s="161">
        <f t="shared" ref="R9" si="11">_xlfn.STDEV.P(P9:P10)</f>
        <v>5.2816234549619145E-3</v>
      </c>
      <c r="S9" s="161" t="s">
        <v>86</v>
      </c>
      <c r="W9" s="43"/>
      <c r="X9" s="43"/>
    </row>
    <row r="10" spans="1:24" x14ac:dyDescent="0.25">
      <c r="A10" s="2" t="s">
        <v>64</v>
      </c>
      <c r="B10">
        <v>547.70000000000005</v>
      </c>
      <c r="C10">
        <v>557</v>
      </c>
      <c r="D10">
        <v>20.79</v>
      </c>
      <c r="E10">
        <v>21.13</v>
      </c>
      <c r="F10">
        <f>(AVERAGE(B10:C10)-'[1]TOC std day 36'!$C$21)/'[1]TOC std day 36'!$B$21</f>
        <v>126.82689107736932</v>
      </c>
      <c r="G10">
        <f>(AVERAGE(D10:E10)-'[1]TOC std day 36'!$F$21)/'[1]TOC std day 36'!$E$21</f>
        <v>12.305141248369976</v>
      </c>
      <c r="H10" s="65">
        <f t="shared" ref="H10:H16" si="12">F10-G10</f>
        <v>114.52174982899935</v>
      </c>
      <c r="I10">
        <v>50</v>
      </c>
      <c r="J10">
        <f t="shared" si="0"/>
        <v>5726.0874914499673</v>
      </c>
      <c r="K10" s="158"/>
      <c r="L10" s="160"/>
      <c r="M10">
        <v>4.6206968016636285</v>
      </c>
      <c r="N10">
        <v>1</v>
      </c>
      <c r="O10">
        <f t="shared" ref="O10:O16" si="13">M10*N10*1000</f>
        <v>4620.6968016636283</v>
      </c>
      <c r="P10" s="67">
        <f t="shared" si="3"/>
        <v>0.8069553265756283</v>
      </c>
      <c r="Q10" s="162"/>
      <c r="R10" s="162"/>
      <c r="S10" s="162"/>
      <c r="W10" s="43"/>
      <c r="X10" s="43"/>
    </row>
    <row r="11" spans="1:24" x14ac:dyDescent="0.25">
      <c r="A11" s="2" t="s">
        <v>66</v>
      </c>
      <c r="B11">
        <v>394.7</v>
      </c>
      <c r="C11">
        <v>377.3</v>
      </c>
      <c r="D11">
        <v>77.290000000000006</v>
      </c>
      <c r="E11">
        <v>78.3</v>
      </c>
      <c r="F11">
        <f>(AVERAGE(B11:C11)-'[1]TOC std day 36'!$C$21)/'[1]TOC std day 36'!$B$21</f>
        <v>93.809382820052264</v>
      </c>
      <c r="G11">
        <f>(AVERAGE(D11:E11)-'[1]TOC std day 36'!$F$21)/'[1]TOC std day 36'!$E$21</f>
        <v>23.961570636072128</v>
      </c>
      <c r="H11" s="65">
        <f t="shared" si="12"/>
        <v>69.847812183980139</v>
      </c>
      <c r="I11">
        <v>50</v>
      </c>
      <c r="J11">
        <f t="shared" si="0"/>
        <v>3492.390609199007</v>
      </c>
      <c r="K11" s="157">
        <f t="shared" ref="K11" si="14">AVERAGE(J11:J12)</f>
        <v>3492.6594573611474</v>
      </c>
      <c r="L11" s="159">
        <f t="shared" ref="L11" si="15">_xlfn.STDEV.P(J11:J12)</f>
        <v>0.26884816214055718</v>
      </c>
      <c r="M11">
        <v>1.6327819275810316</v>
      </c>
      <c r="N11">
        <v>1</v>
      </c>
      <c r="O11">
        <f t="shared" si="13"/>
        <v>1632.7819275810316</v>
      </c>
      <c r="P11" s="67">
        <f t="shared" si="3"/>
        <v>0.46752557496869351</v>
      </c>
      <c r="Q11" s="161">
        <f t="shared" ref="Q11" si="16">AVERAGE(P11:P12)</f>
        <v>0.47726762525581878</v>
      </c>
      <c r="R11" s="161">
        <f t="shared" ref="R11" si="17">_xlfn.STDEV.P(P11:P12)</f>
        <v>9.7420502871252423E-3</v>
      </c>
      <c r="S11" s="161" t="s">
        <v>87</v>
      </c>
      <c r="W11" s="43"/>
      <c r="X11" s="43"/>
    </row>
    <row r="12" spans="1:24" x14ac:dyDescent="0.25">
      <c r="A12" s="2" t="s">
        <v>67</v>
      </c>
      <c r="B12">
        <v>381.7</v>
      </c>
      <c r="C12">
        <v>379.6</v>
      </c>
      <c r="D12">
        <v>72.069999999999993</v>
      </c>
      <c r="E12">
        <v>73.06</v>
      </c>
      <c r="F12">
        <f>(AVERAGE(B12:C12)-'[1]TOC std day 36'!$C$21)/'[1]TOC std day 36'!$B$21</f>
        <v>92.74750323377846</v>
      </c>
      <c r="G12">
        <f>(AVERAGE(D12:E12)-'[1]TOC std day 36'!$F$21)/'[1]TOC std day 36'!$E$21</f>
        <v>22.888937123312697</v>
      </c>
      <c r="H12" s="65">
        <f t="shared" si="12"/>
        <v>69.858566110465759</v>
      </c>
      <c r="I12">
        <v>50</v>
      </c>
      <c r="J12">
        <f t="shared" si="0"/>
        <v>3492.9283055232881</v>
      </c>
      <c r="K12" s="158"/>
      <c r="L12" s="160"/>
      <c r="M12">
        <v>1.7010898807676618</v>
      </c>
      <c r="N12">
        <v>1</v>
      </c>
      <c r="O12">
        <f t="shared" si="13"/>
        <v>1701.0898807676617</v>
      </c>
      <c r="P12" s="67">
        <f t="shared" si="3"/>
        <v>0.487009675542944</v>
      </c>
      <c r="Q12" s="162"/>
      <c r="R12" s="162"/>
      <c r="S12" s="162"/>
      <c r="W12" s="43"/>
      <c r="X12" s="43"/>
    </row>
    <row r="13" spans="1:24" x14ac:dyDescent="0.25">
      <c r="A13" s="2" t="s">
        <v>69</v>
      </c>
      <c r="B13">
        <v>529.5</v>
      </c>
      <c r="C13">
        <v>529</v>
      </c>
      <c r="D13">
        <v>22.59</v>
      </c>
      <c r="E13">
        <v>23.09</v>
      </c>
      <c r="F13">
        <f>(AVERAGE(B13:C13)-'[1]TOC std day 36'!$C$21)/'[1]TOC std day 36'!$B$21</f>
        <v>122.24195305065442</v>
      </c>
      <c r="G13">
        <f>(AVERAGE(D13:E13)-'[1]TOC std day 36'!$F$21)/'[1]TOC std day 36'!$E$21</f>
        <v>12.690715054103768</v>
      </c>
      <c r="H13" s="65">
        <f t="shared" si="12"/>
        <v>109.55123799655065</v>
      </c>
      <c r="I13">
        <v>50</v>
      </c>
      <c r="J13">
        <f t="shared" si="0"/>
        <v>5477.5618998275331</v>
      </c>
      <c r="K13" s="157">
        <f t="shared" ref="K13" si="18">AVERAGE(J13:J14)</f>
        <v>5537.9555137435618</v>
      </c>
      <c r="L13" s="159">
        <f t="shared" ref="L13" si="19">_xlfn.STDEV.P(J13:J14)</f>
        <v>60.393613916029153</v>
      </c>
      <c r="M13">
        <v>4.5606174036696938</v>
      </c>
      <c r="N13">
        <v>1</v>
      </c>
      <c r="O13">
        <f t="shared" si="13"/>
        <v>4560.6174036696939</v>
      </c>
      <c r="P13" s="67">
        <f t="shared" si="3"/>
        <v>0.83259988423194087</v>
      </c>
      <c r="Q13" s="161">
        <f t="shared" ref="Q13" si="20">AVERAGE(P13:P14)</f>
        <v>0.83601582556368381</v>
      </c>
      <c r="R13" s="161">
        <f t="shared" ref="R13" si="21">_xlfn.STDEV.P(P13:P14)</f>
        <v>3.4159413317428888E-3</v>
      </c>
      <c r="S13" s="161" t="s">
        <v>88</v>
      </c>
      <c r="W13" s="43"/>
      <c r="X13" s="43"/>
    </row>
    <row r="14" spans="1:24" x14ac:dyDescent="0.25">
      <c r="A14" s="2" t="s">
        <v>70</v>
      </c>
      <c r="B14">
        <v>536.5</v>
      </c>
      <c r="C14">
        <v>541</v>
      </c>
      <c r="D14">
        <v>20.059999999999999</v>
      </c>
      <c r="E14">
        <v>20.45</v>
      </c>
      <c r="F14">
        <f>(AVERAGE(B14:C14)-'[1]TOC std day 36'!$C$21)/'[1]TOC std day 36'!$B$21</f>
        <v>124.12753362441163</v>
      </c>
      <c r="G14">
        <f>(AVERAGE(D14:E14)-'[1]TOC std day 36'!$F$21)/'[1]TOC std day 36'!$E$21</f>
        <v>12.160551071219803</v>
      </c>
      <c r="H14" s="65">
        <f t="shared" si="12"/>
        <v>111.96698255319183</v>
      </c>
      <c r="I14">
        <v>50</v>
      </c>
      <c r="J14">
        <f t="shared" si="0"/>
        <v>5598.3491276595914</v>
      </c>
      <c r="K14" s="158"/>
      <c r="L14" s="160"/>
      <c r="M14">
        <v>4.6994320999287611</v>
      </c>
      <c r="N14">
        <v>1</v>
      </c>
      <c r="O14">
        <f t="shared" si="13"/>
        <v>4699.4320999287611</v>
      </c>
      <c r="P14" s="67">
        <f t="shared" si="3"/>
        <v>0.83943176689542665</v>
      </c>
      <c r="Q14" s="162"/>
      <c r="R14" s="162"/>
      <c r="S14" s="162"/>
      <c r="W14" s="43"/>
      <c r="X14" s="43"/>
    </row>
    <row r="15" spans="1:24" x14ac:dyDescent="0.25">
      <c r="A15" s="2" t="s">
        <v>72</v>
      </c>
      <c r="B15">
        <v>533.29999999999995</v>
      </c>
      <c r="C15">
        <v>531</v>
      </c>
      <c r="D15">
        <v>12.49</v>
      </c>
      <c r="E15">
        <v>12.56</v>
      </c>
      <c r="F15">
        <f>(AVERAGE(B15:C15)-'[1]TOC std day 36'!$C$21)/'[1]TOC std day 36'!$B$21</f>
        <v>122.81755133106451</v>
      </c>
      <c r="G15">
        <f>(AVERAGE(D15:E15)-'[1]TOC std day 36'!$F$21)/'[1]TOC std day 36'!$E$21</f>
        <v>10.575186433814373</v>
      </c>
      <c r="H15" s="65">
        <f t="shared" si="12"/>
        <v>112.24236489725013</v>
      </c>
      <c r="I15">
        <v>50</v>
      </c>
      <c r="J15">
        <f t="shared" si="0"/>
        <v>5612.1182448625059</v>
      </c>
      <c r="K15" s="157">
        <f t="shared" ref="K15" si="22">AVERAGE(J15:J16)</f>
        <v>5735.2502913863173</v>
      </c>
      <c r="L15" s="159">
        <f t="shared" ref="L15" si="23">_xlfn.STDEV.P(J15:J16)</f>
        <v>123.13204652381182</v>
      </c>
      <c r="M15">
        <v>4.6469992926741703</v>
      </c>
      <c r="N15">
        <v>1</v>
      </c>
      <c r="O15">
        <f t="shared" si="13"/>
        <v>4646.9992926741706</v>
      </c>
      <c r="P15" s="67">
        <f t="shared" si="3"/>
        <v>0.82802946943040034</v>
      </c>
      <c r="Q15" s="161">
        <f t="shared" ref="Q15" si="24">AVERAGE(P15:P16)</f>
        <v>0.83237432888221319</v>
      </c>
      <c r="R15" s="161">
        <f t="shared" ref="R15" si="25">_xlfn.STDEV.P(P15:P16)</f>
        <v>4.3448594518128991E-3</v>
      </c>
      <c r="S15" s="161" t="s">
        <v>89</v>
      </c>
      <c r="W15" s="43"/>
      <c r="X15" s="43"/>
    </row>
    <row r="16" spans="1:24" x14ac:dyDescent="0.25">
      <c r="A16" s="2" t="s">
        <v>73</v>
      </c>
      <c r="B16">
        <v>562.20000000000005</v>
      </c>
      <c r="C16">
        <v>556.4</v>
      </c>
      <c r="D16">
        <v>14.6</v>
      </c>
      <c r="E16">
        <v>14.97</v>
      </c>
      <c r="F16">
        <f>(AVERAGE(B16:C16)-'[1]TOC std day 36'!$C$21)/'[1]TOC std day 36'!$B$21</f>
        <v>128.20634212869695</v>
      </c>
      <c r="G16">
        <f>(AVERAGE(D16:E16)-'[1]TOC std day 36'!$F$21)/'[1]TOC std day 36'!$E$21</f>
        <v>11.038695370494356</v>
      </c>
      <c r="H16" s="65">
        <f t="shared" si="12"/>
        <v>117.16764675820259</v>
      </c>
      <c r="I16">
        <v>50</v>
      </c>
      <c r="J16">
        <f t="shared" si="0"/>
        <v>5858.3823379101295</v>
      </c>
      <c r="K16" s="158"/>
      <c r="L16" s="160"/>
      <c r="M16">
        <v>4.9018209147265583</v>
      </c>
      <c r="N16">
        <v>1</v>
      </c>
      <c r="O16">
        <f t="shared" si="13"/>
        <v>4901.8209147265579</v>
      </c>
      <c r="P16" s="67">
        <f t="shared" si="3"/>
        <v>0.83671918833402614</v>
      </c>
      <c r="Q16" s="162"/>
      <c r="R16" s="162"/>
      <c r="S16" s="162"/>
    </row>
    <row r="17" spans="1:9" x14ac:dyDescent="0.25">
      <c r="A17" s="2"/>
    </row>
    <row r="18" spans="1:9" x14ac:dyDescent="0.25">
      <c r="A18" s="2"/>
    </row>
    <row r="19" spans="1:9" x14ac:dyDescent="0.25">
      <c r="A19" s="2" t="s">
        <v>206</v>
      </c>
    </row>
    <row r="20" spans="1:9" x14ac:dyDescent="0.25">
      <c r="A20" s="2" t="s">
        <v>198</v>
      </c>
      <c r="B20" s="2" t="s">
        <v>189</v>
      </c>
      <c r="C20" s="2" t="s">
        <v>113</v>
      </c>
      <c r="D20" s="2" t="s">
        <v>201</v>
      </c>
      <c r="E20" s="2" t="s">
        <v>124</v>
      </c>
      <c r="F20" s="2" t="s">
        <v>108</v>
      </c>
      <c r="G20" s="63" t="s">
        <v>204</v>
      </c>
      <c r="H20" s="63" t="s">
        <v>205</v>
      </c>
      <c r="I20" s="63" t="s">
        <v>108</v>
      </c>
    </row>
    <row r="21" spans="1:9" x14ac:dyDescent="0.25">
      <c r="A21" s="2" t="s">
        <v>57</v>
      </c>
      <c r="B21">
        <v>60.81</v>
      </c>
      <c r="C21">
        <v>50</v>
      </c>
      <c r="D21">
        <f>C21*B21</f>
        <v>3040.5</v>
      </c>
      <c r="E21" s="157">
        <f>AVERAGE(D21:D22)</f>
        <v>2871.5</v>
      </c>
      <c r="F21" s="159">
        <f>_xlfn.STDEV.P(D21:D22)</f>
        <v>169</v>
      </c>
      <c r="G21" s="66">
        <f>O5/D21</f>
        <v>0.54038259896515051</v>
      </c>
      <c r="H21" s="163">
        <f t="shared" ref="H21" si="26">AVERAGE(G21:G22)</f>
        <v>0.6032633973670336</v>
      </c>
      <c r="I21" s="163">
        <f>_xlfn.STDEV.P(G21:G22)</f>
        <v>6.2880798401883306E-2</v>
      </c>
    </row>
    <row r="22" spans="1:9" x14ac:dyDescent="0.25">
      <c r="A22" s="2" t="s">
        <v>58</v>
      </c>
      <c r="B22">
        <v>54.05</v>
      </c>
      <c r="C22">
        <v>50</v>
      </c>
      <c r="D22">
        <f t="shared" ref="D22:D25" si="27">C22*B22</f>
        <v>2702.5</v>
      </c>
      <c r="E22" s="158"/>
      <c r="F22" s="160"/>
      <c r="G22" s="66">
        <f>O6/D22</f>
        <v>0.6661441957689167</v>
      </c>
      <c r="H22" s="162"/>
      <c r="I22" s="162"/>
    </row>
    <row r="23" spans="1:9" x14ac:dyDescent="0.25">
      <c r="A23" s="2" t="s">
        <v>60</v>
      </c>
      <c r="B23">
        <v>90.98</v>
      </c>
      <c r="C23">
        <v>50</v>
      </c>
      <c r="D23">
        <f t="shared" si="27"/>
        <v>4549</v>
      </c>
      <c r="E23" s="157">
        <f t="shared" ref="E23" si="28">AVERAGE(D23:D24)</f>
        <v>4849.5</v>
      </c>
      <c r="F23" s="159">
        <f>_xlfn.STDEV.P(D23:D24)</f>
        <v>300.5</v>
      </c>
      <c r="G23" s="66">
        <f t="shared" ref="G23:G32" si="29">O7/D23</f>
        <v>1.0199902877634415</v>
      </c>
      <c r="H23" s="161">
        <f t="shared" ref="H23" si="30">AVERAGE(G23:G24)</f>
        <v>1.022084941340667</v>
      </c>
      <c r="I23" s="161">
        <f t="shared" ref="I23" si="31">_xlfn.STDEV.P(G23:G24)</f>
        <v>2.0946535772254915E-3</v>
      </c>
    </row>
    <row r="24" spans="1:9" x14ac:dyDescent="0.25">
      <c r="A24" s="2" t="s">
        <v>61</v>
      </c>
      <c r="B24">
        <v>103</v>
      </c>
      <c r="C24">
        <v>50</v>
      </c>
      <c r="D24">
        <f t="shared" si="27"/>
        <v>5150</v>
      </c>
      <c r="E24" s="158"/>
      <c r="F24" s="160"/>
      <c r="G24" s="66">
        <f t="shared" si="29"/>
        <v>1.0241795949178925</v>
      </c>
      <c r="H24" s="162"/>
      <c r="I24" s="162"/>
    </row>
    <row r="25" spans="1:9" x14ac:dyDescent="0.25">
      <c r="A25" s="2" t="s">
        <v>63</v>
      </c>
      <c r="B25">
        <v>86.97</v>
      </c>
      <c r="C25">
        <v>50</v>
      </c>
      <c r="D25">
        <f t="shared" si="27"/>
        <v>4348.5</v>
      </c>
      <c r="E25" s="157">
        <f t="shared" ref="E25" si="32">AVERAGE(D25:D26)</f>
        <v>4452.5</v>
      </c>
      <c r="F25" s="159">
        <f>_xlfn.STDEV.P(D25:D26)</f>
        <v>104</v>
      </c>
      <c r="G25" s="66">
        <f t="shared" si="29"/>
        <v>0.98452951623046747</v>
      </c>
      <c r="H25" s="161">
        <f t="shared" ref="H25" si="33">AVERAGE(G25:G26)</f>
        <v>0.99930928809039321</v>
      </c>
      <c r="I25" s="161">
        <f t="shared" ref="I25" si="34">_xlfn.STDEV.P(G25:G26)</f>
        <v>1.4779771859925739E-2</v>
      </c>
    </row>
    <row r="26" spans="1:9" x14ac:dyDescent="0.25">
      <c r="A26" s="2" t="s">
        <v>64</v>
      </c>
      <c r="B26">
        <v>91.13</v>
      </c>
      <c r="C26">
        <v>50</v>
      </c>
      <c r="D26">
        <f>C26*B26</f>
        <v>4556.5</v>
      </c>
      <c r="E26" s="158"/>
      <c r="F26" s="160"/>
      <c r="G26" s="66">
        <f t="shared" si="29"/>
        <v>1.0140890599503189</v>
      </c>
      <c r="H26" s="162"/>
      <c r="I26" s="162"/>
    </row>
    <row r="27" spans="1:9" x14ac:dyDescent="0.25">
      <c r="A27" s="2" t="s">
        <v>66</v>
      </c>
      <c r="B27">
        <v>62.3</v>
      </c>
      <c r="C27">
        <v>50</v>
      </c>
      <c r="D27">
        <f t="shared" ref="D27:D32" si="35">C27*B27</f>
        <v>3115</v>
      </c>
      <c r="E27" s="157">
        <f t="shared" ref="E27" si="36">AVERAGE(D27:D28)</f>
        <v>2876</v>
      </c>
      <c r="F27" s="159">
        <f t="shared" ref="F27" si="37">_xlfn.STDEV.P(D27:D28)</f>
        <v>239</v>
      </c>
      <c r="G27" s="66">
        <f t="shared" si="29"/>
        <v>0.52416755299551576</v>
      </c>
      <c r="H27" s="161">
        <f t="shared" ref="H27" si="38">AVERAGE(G27:G28)</f>
        <v>0.58462641600622622</v>
      </c>
      <c r="I27" s="161">
        <f t="shared" ref="I27" si="39">_xlfn.STDEV.P(G27:G28)</f>
        <v>6.0458863010709664E-2</v>
      </c>
    </row>
    <row r="28" spans="1:9" x14ac:dyDescent="0.25">
      <c r="A28" s="2" t="s">
        <v>67</v>
      </c>
      <c r="B28">
        <v>52.74</v>
      </c>
      <c r="C28">
        <v>50</v>
      </c>
      <c r="D28">
        <f t="shared" si="35"/>
        <v>2637</v>
      </c>
      <c r="E28" s="158"/>
      <c r="F28" s="160"/>
      <c r="G28" s="66">
        <f t="shared" si="29"/>
        <v>0.64508527901693657</v>
      </c>
      <c r="H28" s="162"/>
      <c r="I28" s="162"/>
    </row>
    <row r="29" spans="1:9" x14ac:dyDescent="0.25">
      <c r="A29" s="2" t="s">
        <v>69</v>
      </c>
      <c r="B29">
        <v>82.18</v>
      </c>
      <c r="C29">
        <v>50</v>
      </c>
      <c r="D29">
        <f t="shared" si="35"/>
        <v>4109</v>
      </c>
      <c r="E29" s="157">
        <f t="shared" ref="E29" si="40">AVERAGE(D29:D30)</f>
        <v>4294</v>
      </c>
      <c r="F29" s="159">
        <f t="shared" ref="F29" si="41">_xlfn.STDEV.P(D29:D30)</f>
        <v>185</v>
      </c>
      <c r="G29" s="66">
        <f t="shared" si="29"/>
        <v>1.1099093218957639</v>
      </c>
      <c r="H29" s="161">
        <f t="shared" ref="H29" si="42">AVERAGE(G29:G30)</f>
        <v>1.079561950513495</v>
      </c>
      <c r="I29" s="161">
        <f t="shared" ref="I29" si="43">_xlfn.STDEV.P(G29:G30)</f>
        <v>3.0347371382268951E-2</v>
      </c>
    </row>
    <row r="30" spans="1:9" x14ac:dyDescent="0.25">
      <c r="A30" s="2" t="s">
        <v>70</v>
      </c>
      <c r="B30">
        <v>89.58</v>
      </c>
      <c r="C30">
        <v>50</v>
      </c>
      <c r="D30">
        <f t="shared" si="35"/>
        <v>4479</v>
      </c>
      <c r="E30" s="158"/>
      <c r="F30" s="160"/>
      <c r="G30" s="66">
        <f t="shared" si="29"/>
        <v>1.049214579131226</v>
      </c>
      <c r="H30" s="162"/>
      <c r="I30" s="162"/>
    </row>
    <row r="31" spans="1:9" x14ac:dyDescent="0.25">
      <c r="A31" s="2" t="s">
        <v>72</v>
      </c>
      <c r="B31">
        <v>104</v>
      </c>
      <c r="C31">
        <v>50</v>
      </c>
      <c r="D31">
        <f t="shared" si="35"/>
        <v>5200</v>
      </c>
      <c r="E31" s="157">
        <f t="shared" ref="E31" si="44">AVERAGE(D31:D32)</f>
        <v>5232.5</v>
      </c>
      <c r="F31" s="159">
        <f t="shared" ref="F31" si="45">_xlfn.STDEV.P(D31:D32)</f>
        <v>32.5</v>
      </c>
      <c r="G31" s="66">
        <f t="shared" si="29"/>
        <v>0.89365371012964823</v>
      </c>
      <c r="H31" s="161">
        <f t="shared" ref="H31" si="46">AVERAGE(G31:G32)</f>
        <v>0.91233691344341461</v>
      </c>
      <c r="I31" s="161">
        <f t="shared" ref="I31" si="47">_xlfn.STDEV.P(G31:G32)</f>
        <v>1.8683203313766383E-2</v>
      </c>
    </row>
    <row r="32" spans="1:9" x14ac:dyDescent="0.25">
      <c r="A32" s="2" t="s">
        <v>73</v>
      </c>
      <c r="B32">
        <v>105.3</v>
      </c>
      <c r="C32">
        <v>50</v>
      </c>
      <c r="D32">
        <f t="shared" si="35"/>
        <v>5265</v>
      </c>
      <c r="E32" s="158"/>
      <c r="F32" s="160"/>
      <c r="G32" s="66">
        <f t="shared" si="29"/>
        <v>0.93102011675718099</v>
      </c>
      <c r="H32" s="162"/>
      <c r="I32" s="162"/>
    </row>
  </sheetData>
  <mergeCells count="56">
    <mergeCell ref="R5:R6"/>
    <mergeCell ref="B3:E3"/>
    <mergeCell ref="F3:H3"/>
    <mergeCell ref="K5:K6"/>
    <mergeCell ref="L5:L6"/>
    <mergeCell ref="Q5:Q6"/>
    <mergeCell ref="K7:K8"/>
    <mergeCell ref="L7:L8"/>
    <mergeCell ref="Q7:Q8"/>
    <mergeCell ref="R7:R8"/>
    <mergeCell ref="K9:K10"/>
    <mergeCell ref="L9:L10"/>
    <mergeCell ref="E21:E22"/>
    <mergeCell ref="F21:F22"/>
    <mergeCell ref="H21:H22"/>
    <mergeCell ref="I21:I22"/>
    <mergeCell ref="E23:E24"/>
    <mergeCell ref="F23:F24"/>
    <mergeCell ref="H23:H24"/>
    <mergeCell ref="I23:I24"/>
    <mergeCell ref="E25:E26"/>
    <mergeCell ref="F25:F26"/>
    <mergeCell ref="H25:H26"/>
    <mergeCell ref="I25:I26"/>
    <mergeCell ref="E27:E28"/>
    <mergeCell ref="F27:F28"/>
    <mergeCell ref="H27:H28"/>
    <mergeCell ref="I27:I28"/>
    <mergeCell ref="E29:E30"/>
    <mergeCell ref="F29:F30"/>
    <mergeCell ref="H29:H30"/>
    <mergeCell ref="I29:I30"/>
    <mergeCell ref="E31:E32"/>
    <mergeCell ref="F31:F32"/>
    <mergeCell ref="H31:H32"/>
    <mergeCell ref="I31:I32"/>
    <mergeCell ref="K11:K12"/>
    <mergeCell ref="L11:L12"/>
    <mergeCell ref="K13:K14"/>
    <mergeCell ref="L13:L14"/>
    <mergeCell ref="K15:K16"/>
    <mergeCell ref="L15:L16"/>
    <mergeCell ref="Q15:Q16"/>
    <mergeCell ref="R15:R16"/>
    <mergeCell ref="Q9:Q10"/>
    <mergeCell ref="R9:R10"/>
    <mergeCell ref="Q11:Q12"/>
    <mergeCell ref="R11:R12"/>
    <mergeCell ref="Q13:Q14"/>
    <mergeCell ref="R13:R14"/>
    <mergeCell ref="S15:S16"/>
    <mergeCell ref="S5:S6"/>
    <mergeCell ref="S7:S8"/>
    <mergeCell ref="S9:S10"/>
    <mergeCell ref="S11:S12"/>
    <mergeCell ref="S13:S14"/>
  </mergeCells>
  <pageMargins left="0.7" right="0.7" top="0.75" bottom="0.75" header="0.3" footer="0.3"/>
  <pageSetup paperSize="9" orientation="portrait" r:id="rId1"/>
  <headerFooter>
    <oddHeader>&amp;R&amp;"Calibri"&amp;10&amp;K000000 PUBLIC / CYHOEDDUS&amp;1#_x000D_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192D0-5132-4112-A59B-D9430416C0B9}">
  <dimension ref="A1:AD75"/>
  <sheetViews>
    <sheetView tabSelected="1" topLeftCell="H1" zoomScale="110" zoomScaleNormal="110" workbookViewId="0">
      <selection activeCell="K1" sqref="K1"/>
    </sheetView>
  </sheetViews>
  <sheetFormatPr defaultRowHeight="15" x14ac:dyDescent="0.25"/>
  <cols>
    <col min="1" max="1" width="13" customWidth="1"/>
    <col min="2" max="2" width="12.140625" customWidth="1"/>
    <col min="3" max="3" width="11.28515625" customWidth="1"/>
    <col min="4" max="4" width="11.5703125" customWidth="1"/>
    <col min="5" max="5" width="11.7109375" customWidth="1"/>
    <col min="6" max="6" width="11" customWidth="1"/>
    <col min="7" max="7" width="12.140625" customWidth="1"/>
    <col min="8" max="8" width="12.7109375" customWidth="1"/>
    <col min="9" max="9" width="11.7109375" customWidth="1"/>
    <col min="10" max="10" width="11.5703125" customWidth="1"/>
    <col min="11" max="12" width="12.7109375" customWidth="1"/>
    <col min="13" max="13" width="14" customWidth="1"/>
    <col min="14" max="14" width="11.28515625" customWidth="1"/>
    <col min="15" max="16" width="10.5703125" customWidth="1"/>
    <col min="17" max="17" width="11" customWidth="1"/>
    <col min="18" max="18" width="10.85546875" customWidth="1"/>
    <col min="19" max="19" width="11.140625" customWidth="1"/>
  </cols>
  <sheetData>
    <row r="1" spans="1:30" x14ac:dyDescent="0.25">
      <c r="B1" t="s">
        <v>77</v>
      </c>
      <c r="C1" s="4">
        <v>44217</v>
      </c>
      <c r="D1" s="4">
        <v>44218</v>
      </c>
      <c r="E1" s="4">
        <v>44219</v>
      </c>
      <c r="F1" s="4">
        <v>44220</v>
      </c>
      <c r="G1" s="4">
        <v>44221</v>
      </c>
      <c r="H1" s="4">
        <v>44222</v>
      </c>
      <c r="I1" s="4">
        <v>44223</v>
      </c>
      <c r="J1" s="4">
        <v>44224</v>
      </c>
      <c r="K1" s="4">
        <v>44225</v>
      </c>
      <c r="L1" s="4"/>
      <c r="M1" s="4"/>
      <c r="N1" s="4"/>
      <c r="O1" s="4"/>
    </row>
    <row r="2" spans="1:30" ht="15.75" thickBot="1" x14ac:dyDescent="0.3">
      <c r="B2" t="s">
        <v>78</v>
      </c>
      <c r="C2" s="5">
        <v>0.57291666666666663</v>
      </c>
      <c r="D2" s="5">
        <v>0.41666666666666669</v>
      </c>
      <c r="E2" s="5">
        <v>0.45833333333333331</v>
      </c>
      <c r="F2" s="5">
        <v>0.41666666666666702</v>
      </c>
      <c r="G2" s="5">
        <v>0.4375</v>
      </c>
      <c r="H2" s="5">
        <v>0.4375</v>
      </c>
      <c r="I2" s="5">
        <v>0.44791666666666669</v>
      </c>
      <c r="J2" s="5">
        <v>0.4375</v>
      </c>
      <c r="K2" s="5">
        <v>0.45833333333333331</v>
      </c>
      <c r="L2" s="5"/>
      <c r="N2" t="s">
        <v>79</v>
      </c>
    </row>
    <row r="3" spans="1:30" ht="15.75" thickBot="1" x14ac:dyDescent="0.3">
      <c r="B3" t="s">
        <v>80</v>
      </c>
      <c r="C3">
        <f>C1-$C$1+C2-$C$2</f>
        <v>0</v>
      </c>
      <c r="D3">
        <f t="shared" ref="D3:J3" si="0">D1-$C$1+D2-$C$2</f>
        <v>0.84375000000000011</v>
      </c>
      <c r="E3">
        <f t="shared" si="0"/>
        <v>1.885416666666667</v>
      </c>
      <c r="F3">
        <f t="shared" si="0"/>
        <v>2.8437500000000004</v>
      </c>
      <c r="G3">
        <f t="shared" si="0"/>
        <v>3.8645833333333335</v>
      </c>
      <c r="H3">
        <f t="shared" si="0"/>
        <v>4.864583333333333</v>
      </c>
      <c r="I3">
        <f t="shared" si="0"/>
        <v>5.875</v>
      </c>
      <c r="J3">
        <f t="shared" si="0"/>
        <v>6.864583333333333</v>
      </c>
      <c r="K3">
        <f t="shared" ref="K3" si="1">K1-$C$1+K2-$C$2</f>
        <v>7.885416666666667</v>
      </c>
      <c r="N3" s="101">
        <v>0</v>
      </c>
      <c r="O3" s="23">
        <v>1E-4</v>
      </c>
      <c r="P3" s="23">
        <v>1</v>
      </c>
      <c r="Q3" s="23">
        <v>1.0001</v>
      </c>
      <c r="R3" s="23">
        <v>2</v>
      </c>
      <c r="S3" s="23">
        <v>2.0001000000000002</v>
      </c>
      <c r="T3" s="23">
        <v>3</v>
      </c>
      <c r="U3" s="23">
        <v>3.0001000000000002</v>
      </c>
      <c r="V3" s="23">
        <v>4</v>
      </c>
      <c r="W3" s="23">
        <v>4.0000999999999998</v>
      </c>
      <c r="X3" s="23">
        <v>5</v>
      </c>
      <c r="Y3" s="23">
        <v>5.0000999999999998</v>
      </c>
      <c r="Z3" s="23">
        <v>6</v>
      </c>
      <c r="AA3" s="23">
        <v>6.0000999999999998</v>
      </c>
      <c r="AB3" s="23">
        <v>7</v>
      </c>
      <c r="AC3" s="23">
        <v>7.0000999999999998</v>
      </c>
      <c r="AD3" s="24">
        <v>8</v>
      </c>
    </row>
    <row r="4" spans="1:30" x14ac:dyDescent="0.25">
      <c r="A4" s="140" t="s">
        <v>81</v>
      </c>
      <c r="B4" s="23" t="s">
        <v>57</v>
      </c>
      <c r="C4" s="23">
        <v>7.82</v>
      </c>
      <c r="D4" s="23">
        <v>6.39</v>
      </c>
      <c r="E4" s="23">
        <v>9.5399999999999991</v>
      </c>
      <c r="F4" s="23">
        <v>9.57</v>
      </c>
      <c r="G4" s="23">
        <v>9.76</v>
      </c>
      <c r="H4" s="23">
        <v>9.82</v>
      </c>
      <c r="I4" s="23">
        <v>9.8000000000000007</v>
      </c>
      <c r="J4" s="23">
        <v>9.76</v>
      </c>
      <c r="K4" s="24">
        <v>9.7200000000000006</v>
      </c>
      <c r="N4" s="8">
        <f>C4</f>
        <v>7.82</v>
      </c>
      <c r="O4" s="81">
        <f>C16</f>
        <v>10.18</v>
      </c>
      <c r="P4" s="81">
        <f>D4</f>
        <v>6.39</v>
      </c>
      <c r="Q4" s="81">
        <f>D16</f>
        <v>10.130000000000001</v>
      </c>
      <c r="R4" s="81">
        <f>E4</f>
        <v>9.5399999999999991</v>
      </c>
      <c r="S4" s="81">
        <f>E16</f>
        <v>10.050000000000001</v>
      </c>
      <c r="T4" s="81">
        <f>F4</f>
        <v>9.57</v>
      </c>
      <c r="U4" s="81">
        <f>F16</f>
        <v>10.08</v>
      </c>
      <c r="V4" s="81">
        <f>G4</f>
        <v>9.76</v>
      </c>
      <c r="W4" s="81">
        <f>G16</f>
        <v>10.01</v>
      </c>
      <c r="X4" s="81">
        <f>H4</f>
        <v>9.82</v>
      </c>
      <c r="Y4" s="81">
        <f>H16</f>
        <v>10.06</v>
      </c>
      <c r="Z4" s="81">
        <f>I4</f>
        <v>9.8000000000000007</v>
      </c>
      <c r="AA4" s="81">
        <f>I16</f>
        <v>10.050000000000001</v>
      </c>
      <c r="AB4" s="81">
        <f>J4</f>
        <v>9.76</v>
      </c>
      <c r="AC4" s="81">
        <f>J16</f>
        <v>10</v>
      </c>
      <c r="AD4" s="10">
        <f>K4</f>
        <v>9.7200000000000006</v>
      </c>
    </row>
    <row r="5" spans="1:30" x14ac:dyDescent="0.25">
      <c r="A5" s="141"/>
      <c r="B5" t="s">
        <v>58</v>
      </c>
      <c r="C5">
        <v>7.81</v>
      </c>
      <c r="D5">
        <v>6.43</v>
      </c>
      <c r="E5">
        <v>9.3699999999999992</v>
      </c>
      <c r="F5">
        <v>9.48</v>
      </c>
      <c r="G5">
        <v>9.6999999999999993</v>
      </c>
      <c r="H5">
        <v>9.82</v>
      </c>
      <c r="I5">
        <v>9.83</v>
      </c>
      <c r="J5">
        <v>9.7799999999999994</v>
      </c>
      <c r="K5" s="10">
        <v>9.75</v>
      </c>
      <c r="N5" s="8">
        <f t="shared" ref="N5:N15" si="2">C5</f>
        <v>7.81</v>
      </c>
      <c r="O5" s="81">
        <f t="shared" ref="O5:O15" si="3">C17</f>
        <v>10.18</v>
      </c>
      <c r="P5" s="81">
        <f t="shared" ref="P5:P15" si="4">D5</f>
        <v>6.43</v>
      </c>
      <c r="Q5" s="81">
        <f t="shared" ref="Q5:Q15" si="5">D17</f>
        <v>10.07</v>
      </c>
      <c r="R5" s="81">
        <f t="shared" ref="R5:R15" si="6">E5</f>
        <v>9.3699999999999992</v>
      </c>
      <c r="S5" s="81">
        <f t="shared" ref="S5:S15" si="7">E17</f>
        <v>10.06</v>
      </c>
      <c r="T5" s="81">
        <f t="shared" ref="T5:T15" si="8">F5</f>
        <v>9.48</v>
      </c>
      <c r="U5" s="81">
        <f t="shared" ref="U5:U15" si="9">F17</f>
        <v>10.01</v>
      </c>
      <c r="V5" s="81">
        <f t="shared" ref="V5:V15" si="10">G5</f>
        <v>9.6999999999999993</v>
      </c>
      <c r="W5" s="81">
        <f t="shared" ref="W5:W15" si="11">G17</f>
        <v>10</v>
      </c>
      <c r="X5" s="81">
        <f t="shared" ref="X5:X15" si="12">N5</f>
        <v>7.81</v>
      </c>
      <c r="Y5" s="81">
        <f t="shared" ref="Y5:Y15" si="13">H17</f>
        <v>10.06</v>
      </c>
      <c r="Z5" s="81">
        <f t="shared" ref="Z5:Z15" si="14">I5</f>
        <v>9.83</v>
      </c>
      <c r="AA5" s="81">
        <f t="shared" ref="AA5:AA15" si="15">I17</f>
        <v>10.050000000000001</v>
      </c>
      <c r="AB5" s="81">
        <f t="shared" ref="AB5:AB15" si="16">J5</f>
        <v>9.7799999999999994</v>
      </c>
      <c r="AC5" s="81">
        <f t="shared" ref="AC5:AC15" si="17">J17</f>
        <v>10.01</v>
      </c>
      <c r="AD5" s="10">
        <f t="shared" ref="AD5:AD15" si="18">K5</f>
        <v>9.75</v>
      </c>
    </row>
    <row r="6" spans="1:30" x14ac:dyDescent="0.25">
      <c r="A6" s="141"/>
      <c r="B6" t="s">
        <v>60</v>
      </c>
      <c r="C6">
        <v>7.57</v>
      </c>
      <c r="D6">
        <v>5.12</v>
      </c>
      <c r="E6">
        <v>6.19</v>
      </c>
      <c r="F6">
        <v>6.88</v>
      </c>
      <c r="G6">
        <v>7.3</v>
      </c>
      <c r="H6">
        <v>7.17</v>
      </c>
      <c r="I6">
        <v>6.58</v>
      </c>
      <c r="J6">
        <v>6.48</v>
      </c>
      <c r="K6" s="10">
        <v>6.76</v>
      </c>
      <c r="N6" s="8">
        <f t="shared" si="2"/>
        <v>7.57</v>
      </c>
      <c r="O6" s="81">
        <f t="shared" si="3"/>
        <v>8.59</v>
      </c>
      <c r="P6" s="81">
        <f t="shared" si="4"/>
        <v>5.12</v>
      </c>
      <c r="Q6" s="81">
        <f t="shared" si="5"/>
        <v>8.52</v>
      </c>
      <c r="R6" s="81">
        <f t="shared" si="6"/>
        <v>6.19</v>
      </c>
      <c r="S6" s="81">
        <f t="shared" si="7"/>
        <v>8.5500000000000007</v>
      </c>
      <c r="T6" s="81">
        <f t="shared" si="8"/>
        <v>6.88</v>
      </c>
      <c r="U6" s="81">
        <f t="shared" si="9"/>
        <v>8.5</v>
      </c>
      <c r="V6" s="81">
        <f t="shared" si="10"/>
        <v>7.3</v>
      </c>
      <c r="W6" s="81">
        <f t="shared" si="11"/>
        <v>8.6300000000000008</v>
      </c>
      <c r="X6" s="81">
        <f t="shared" si="12"/>
        <v>7.57</v>
      </c>
      <c r="Y6" s="81">
        <f t="shared" si="13"/>
        <v>8.6</v>
      </c>
      <c r="Z6" s="81">
        <f t="shared" si="14"/>
        <v>6.58</v>
      </c>
      <c r="AA6" s="81">
        <f t="shared" si="15"/>
        <v>8.59</v>
      </c>
      <c r="AB6" s="81">
        <f t="shared" si="16"/>
        <v>6.48</v>
      </c>
      <c r="AC6" s="81">
        <f t="shared" si="17"/>
        <v>8.66</v>
      </c>
      <c r="AD6" s="10">
        <f t="shared" si="18"/>
        <v>6.76</v>
      </c>
    </row>
    <row r="7" spans="1:30" x14ac:dyDescent="0.25">
      <c r="A7" s="141"/>
      <c r="B7" t="s">
        <v>61</v>
      </c>
      <c r="C7">
        <v>7.54</v>
      </c>
      <c r="D7">
        <v>5.0999999999999996</v>
      </c>
      <c r="E7">
        <v>6.15</v>
      </c>
      <c r="F7">
        <v>7</v>
      </c>
      <c r="G7">
        <v>7.28</v>
      </c>
      <c r="H7">
        <v>7.17</v>
      </c>
      <c r="I7">
        <v>6.64</v>
      </c>
      <c r="J7">
        <v>6.51</v>
      </c>
      <c r="K7" s="10">
        <v>6.5</v>
      </c>
      <c r="N7" s="8">
        <f t="shared" si="2"/>
        <v>7.54</v>
      </c>
      <c r="O7" s="81">
        <f t="shared" si="3"/>
        <v>8.6</v>
      </c>
      <c r="P7" s="81">
        <f t="shared" si="4"/>
        <v>5.0999999999999996</v>
      </c>
      <c r="Q7" s="81">
        <f t="shared" si="5"/>
        <v>8.6</v>
      </c>
      <c r="R7" s="81">
        <f t="shared" si="6"/>
        <v>6.15</v>
      </c>
      <c r="S7" s="81">
        <f t="shared" si="7"/>
        <v>8.58</v>
      </c>
      <c r="T7" s="81">
        <f t="shared" si="8"/>
        <v>7</v>
      </c>
      <c r="U7" s="81">
        <f t="shared" si="9"/>
        <v>8.52</v>
      </c>
      <c r="V7" s="81">
        <f t="shared" si="10"/>
        <v>7.28</v>
      </c>
      <c r="W7" s="81">
        <f t="shared" si="11"/>
        <v>8.5500000000000007</v>
      </c>
      <c r="X7" s="81">
        <f t="shared" si="12"/>
        <v>7.54</v>
      </c>
      <c r="Y7" s="81">
        <f t="shared" si="13"/>
        <v>8.52</v>
      </c>
      <c r="Z7" s="81">
        <f t="shared" si="14"/>
        <v>6.64</v>
      </c>
      <c r="AA7" s="81">
        <f t="shared" si="15"/>
        <v>8.5299999999999994</v>
      </c>
      <c r="AB7" s="81">
        <f t="shared" si="16"/>
        <v>6.51</v>
      </c>
      <c r="AC7" s="81">
        <f t="shared" si="17"/>
        <v>8.5399999999999991</v>
      </c>
      <c r="AD7" s="10">
        <f t="shared" si="18"/>
        <v>6.5</v>
      </c>
    </row>
    <row r="8" spans="1:30" x14ac:dyDescent="0.25">
      <c r="A8" s="141"/>
      <c r="B8" t="s">
        <v>63</v>
      </c>
      <c r="C8">
        <v>7.54</v>
      </c>
      <c r="D8">
        <v>5.1100000000000003</v>
      </c>
      <c r="E8">
        <v>5.98</v>
      </c>
      <c r="F8">
        <v>6.46</v>
      </c>
      <c r="G8">
        <v>6.98</v>
      </c>
      <c r="H8">
        <v>6.44</v>
      </c>
      <c r="I8">
        <v>5.67</v>
      </c>
      <c r="J8">
        <v>6.46</v>
      </c>
      <c r="K8" s="10">
        <v>6.83</v>
      </c>
      <c r="N8" s="8">
        <f t="shared" si="2"/>
        <v>7.54</v>
      </c>
      <c r="O8" s="81">
        <f t="shared" si="3"/>
        <v>7.54</v>
      </c>
      <c r="P8" s="81">
        <f t="shared" si="4"/>
        <v>5.1100000000000003</v>
      </c>
      <c r="Q8" s="81">
        <f t="shared" si="5"/>
        <v>7.25</v>
      </c>
      <c r="R8" s="81">
        <f t="shared" si="6"/>
        <v>5.98</v>
      </c>
      <c r="S8" s="81">
        <f t="shared" si="7"/>
        <v>7.14</v>
      </c>
      <c r="T8" s="81">
        <f t="shared" si="8"/>
        <v>6.46</v>
      </c>
      <c r="U8" s="81">
        <f t="shared" si="9"/>
        <v>7.14</v>
      </c>
      <c r="V8" s="81">
        <f t="shared" si="10"/>
        <v>6.98</v>
      </c>
      <c r="W8" s="81">
        <f t="shared" si="11"/>
        <v>6.98</v>
      </c>
      <c r="X8" s="81">
        <f t="shared" si="12"/>
        <v>7.54</v>
      </c>
      <c r="Y8" s="81">
        <f t="shared" si="13"/>
        <v>7.1</v>
      </c>
      <c r="Z8" s="81">
        <f t="shared" si="14"/>
        <v>5.67</v>
      </c>
      <c r="AA8" s="81">
        <f t="shared" si="15"/>
        <v>7.05</v>
      </c>
      <c r="AB8" s="81">
        <f t="shared" si="16"/>
        <v>6.46</v>
      </c>
      <c r="AC8" s="81">
        <f t="shared" si="17"/>
        <v>7.1</v>
      </c>
      <c r="AD8" s="10">
        <f t="shared" si="18"/>
        <v>6.83</v>
      </c>
    </row>
    <row r="9" spans="1:30" x14ac:dyDescent="0.25">
      <c r="A9" s="141"/>
      <c r="B9" t="s">
        <v>64</v>
      </c>
      <c r="C9">
        <v>7.55</v>
      </c>
      <c r="D9">
        <v>5.0999999999999996</v>
      </c>
      <c r="E9">
        <v>6.09</v>
      </c>
      <c r="F9">
        <v>6.63</v>
      </c>
      <c r="G9">
        <v>6.78</v>
      </c>
      <c r="H9">
        <v>6.08</v>
      </c>
      <c r="I9">
        <v>5.64</v>
      </c>
      <c r="J9">
        <v>6.58</v>
      </c>
      <c r="K9" s="10">
        <v>6.92</v>
      </c>
      <c r="N9" s="8">
        <f t="shared" si="2"/>
        <v>7.55</v>
      </c>
      <c r="O9" s="81">
        <f t="shared" si="3"/>
        <v>7.55</v>
      </c>
      <c r="P9" s="81">
        <f t="shared" si="4"/>
        <v>5.0999999999999996</v>
      </c>
      <c r="Q9" s="81">
        <f t="shared" si="5"/>
        <v>7.53</v>
      </c>
      <c r="R9" s="81">
        <f t="shared" si="6"/>
        <v>6.09</v>
      </c>
      <c r="S9" s="81">
        <f t="shared" si="7"/>
        <v>7.23</v>
      </c>
      <c r="T9" s="81">
        <f t="shared" si="8"/>
        <v>6.63</v>
      </c>
      <c r="U9" s="81">
        <f t="shared" si="9"/>
        <v>7.03</v>
      </c>
      <c r="V9" s="81">
        <f t="shared" si="10"/>
        <v>6.78</v>
      </c>
      <c r="W9" s="81">
        <f t="shared" si="11"/>
        <v>7.05</v>
      </c>
      <c r="X9" s="81">
        <f t="shared" si="12"/>
        <v>7.55</v>
      </c>
      <c r="Y9" s="81">
        <f t="shared" si="13"/>
        <v>7.01</v>
      </c>
      <c r="Z9" s="81">
        <f t="shared" si="14"/>
        <v>5.64</v>
      </c>
      <c r="AA9" s="81">
        <f t="shared" si="15"/>
        <v>7.02</v>
      </c>
      <c r="AB9" s="81">
        <f t="shared" si="16"/>
        <v>6.58</v>
      </c>
      <c r="AC9" s="81">
        <f t="shared" si="17"/>
        <v>7.12</v>
      </c>
      <c r="AD9" s="10">
        <f t="shared" si="18"/>
        <v>6.92</v>
      </c>
    </row>
    <row r="10" spans="1:30" x14ac:dyDescent="0.25">
      <c r="A10" s="141"/>
      <c r="B10" t="s">
        <v>66</v>
      </c>
      <c r="C10">
        <v>7.75</v>
      </c>
      <c r="D10">
        <v>6.47</v>
      </c>
      <c r="E10">
        <v>9.49</v>
      </c>
      <c r="F10">
        <v>9.5299999999999994</v>
      </c>
      <c r="G10">
        <v>9.67</v>
      </c>
      <c r="H10">
        <v>9.84</v>
      </c>
      <c r="I10">
        <v>9.8800000000000008</v>
      </c>
      <c r="J10">
        <v>9.75</v>
      </c>
      <c r="K10" s="10">
        <v>9.74</v>
      </c>
      <c r="N10" s="8">
        <f t="shared" si="2"/>
        <v>7.75</v>
      </c>
      <c r="O10" s="81">
        <f t="shared" si="3"/>
        <v>10.24</v>
      </c>
      <c r="P10" s="81">
        <f t="shared" si="4"/>
        <v>6.47</v>
      </c>
      <c r="Q10" s="81">
        <f t="shared" si="5"/>
        <v>10.199999999999999</v>
      </c>
      <c r="R10" s="81">
        <f t="shared" si="6"/>
        <v>9.49</v>
      </c>
      <c r="S10" s="81">
        <f t="shared" si="7"/>
        <v>10.08</v>
      </c>
      <c r="T10" s="81">
        <f t="shared" si="8"/>
        <v>9.5299999999999994</v>
      </c>
      <c r="U10" s="81">
        <f t="shared" si="9"/>
        <v>10.06</v>
      </c>
      <c r="V10" s="81">
        <f t="shared" si="10"/>
        <v>9.67</v>
      </c>
      <c r="W10" s="81">
        <f t="shared" si="11"/>
        <v>10.050000000000001</v>
      </c>
      <c r="X10" s="81">
        <f t="shared" si="12"/>
        <v>7.75</v>
      </c>
      <c r="Y10" s="81">
        <f t="shared" si="13"/>
        <v>10.15</v>
      </c>
      <c r="Z10" s="81">
        <f t="shared" si="14"/>
        <v>9.8800000000000008</v>
      </c>
      <c r="AA10" s="81">
        <f t="shared" si="15"/>
        <v>10.07</v>
      </c>
      <c r="AB10" s="81">
        <f t="shared" si="16"/>
        <v>9.75</v>
      </c>
      <c r="AC10" s="81">
        <f t="shared" si="17"/>
        <v>10.02</v>
      </c>
      <c r="AD10" s="10">
        <f t="shared" si="18"/>
        <v>9.74</v>
      </c>
    </row>
    <row r="11" spans="1:30" x14ac:dyDescent="0.25">
      <c r="A11" s="141"/>
      <c r="B11" t="s">
        <v>67</v>
      </c>
      <c r="C11">
        <v>7.82</v>
      </c>
      <c r="D11">
        <v>6.48</v>
      </c>
      <c r="E11">
        <v>9.34</v>
      </c>
      <c r="F11">
        <v>9.5500000000000007</v>
      </c>
      <c r="G11">
        <v>9.6</v>
      </c>
      <c r="H11">
        <v>9.86</v>
      </c>
      <c r="I11">
        <v>9.84</v>
      </c>
      <c r="J11">
        <v>9.75</v>
      </c>
      <c r="K11" s="10">
        <v>9.76</v>
      </c>
      <c r="N11" s="8">
        <f t="shared" si="2"/>
        <v>7.82</v>
      </c>
      <c r="O11" s="81">
        <f t="shared" si="3"/>
        <v>10.25</v>
      </c>
      <c r="P11" s="81">
        <f t="shared" si="4"/>
        <v>6.48</v>
      </c>
      <c r="Q11" s="81">
        <f t="shared" si="5"/>
        <v>10.09</v>
      </c>
      <c r="R11" s="81">
        <f t="shared" si="6"/>
        <v>9.34</v>
      </c>
      <c r="S11" s="81">
        <f t="shared" si="7"/>
        <v>10.029999999999999</v>
      </c>
      <c r="T11" s="81">
        <f t="shared" si="8"/>
        <v>9.5500000000000007</v>
      </c>
      <c r="U11" s="81">
        <f t="shared" si="9"/>
        <v>10.02</v>
      </c>
      <c r="V11" s="81">
        <f t="shared" si="10"/>
        <v>9.6</v>
      </c>
      <c r="W11" s="81">
        <f t="shared" si="11"/>
        <v>10.01</v>
      </c>
      <c r="X11" s="81">
        <f t="shared" si="12"/>
        <v>7.82</v>
      </c>
      <c r="Y11" s="81">
        <f t="shared" si="13"/>
        <v>10.09</v>
      </c>
      <c r="Z11" s="81">
        <f t="shared" si="14"/>
        <v>9.84</v>
      </c>
      <c r="AA11" s="81">
        <f t="shared" si="15"/>
        <v>10.01</v>
      </c>
      <c r="AB11" s="81">
        <f t="shared" si="16"/>
        <v>9.75</v>
      </c>
      <c r="AC11" s="81">
        <f t="shared" si="17"/>
        <v>10.01</v>
      </c>
      <c r="AD11" s="10">
        <f t="shared" si="18"/>
        <v>9.76</v>
      </c>
    </row>
    <row r="12" spans="1:30" x14ac:dyDescent="0.25">
      <c r="A12" s="141"/>
      <c r="B12" t="s">
        <v>69</v>
      </c>
      <c r="C12">
        <v>7.58</v>
      </c>
      <c r="D12">
        <v>5.26</v>
      </c>
      <c r="E12">
        <v>6.06</v>
      </c>
      <c r="F12">
        <v>6.81</v>
      </c>
      <c r="G12">
        <v>7.21</v>
      </c>
      <c r="H12">
        <v>7.53</v>
      </c>
      <c r="I12">
        <v>6.85</v>
      </c>
      <c r="J12">
        <v>6.56</v>
      </c>
      <c r="K12" s="10">
        <v>6.77</v>
      </c>
      <c r="N12" s="8">
        <f t="shared" si="2"/>
        <v>7.58</v>
      </c>
      <c r="O12" s="81">
        <f t="shared" si="3"/>
        <v>8.59</v>
      </c>
      <c r="P12" s="81">
        <f t="shared" si="4"/>
        <v>5.26</v>
      </c>
      <c r="Q12" s="81">
        <f t="shared" si="5"/>
        <v>8.5399999999999991</v>
      </c>
      <c r="R12" s="81">
        <f t="shared" si="6"/>
        <v>6.06</v>
      </c>
      <c r="S12" s="81">
        <f t="shared" si="7"/>
        <v>8.57</v>
      </c>
      <c r="T12" s="81">
        <f t="shared" si="8"/>
        <v>6.81</v>
      </c>
      <c r="U12" s="81">
        <f t="shared" si="9"/>
        <v>8.59</v>
      </c>
      <c r="V12" s="81">
        <f t="shared" si="10"/>
        <v>7.21</v>
      </c>
      <c r="W12" s="81">
        <f t="shared" si="11"/>
        <v>8.61</v>
      </c>
      <c r="X12" s="81">
        <f t="shared" si="12"/>
        <v>7.58</v>
      </c>
      <c r="Y12" s="81">
        <f t="shared" si="13"/>
        <v>8.59</v>
      </c>
      <c r="Z12" s="81">
        <f t="shared" si="14"/>
        <v>6.85</v>
      </c>
      <c r="AA12" s="81">
        <f t="shared" si="15"/>
        <v>8.6199999999999992</v>
      </c>
      <c r="AB12" s="81">
        <f t="shared" si="16"/>
        <v>6.56</v>
      </c>
      <c r="AC12" s="81">
        <f t="shared" si="17"/>
        <v>8.67</v>
      </c>
      <c r="AD12" s="10">
        <f t="shared" si="18"/>
        <v>6.77</v>
      </c>
    </row>
    <row r="13" spans="1:30" x14ac:dyDescent="0.25">
      <c r="A13" s="141"/>
      <c r="B13" t="s">
        <v>70</v>
      </c>
      <c r="C13">
        <v>7.57</v>
      </c>
      <c r="D13">
        <v>5.25</v>
      </c>
      <c r="E13">
        <v>6.12</v>
      </c>
      <c r="F13">
        <v>6.78</v>
      </c>
      <c r="G13">
        <v>7.66</v>
      </c>
      <c r="H13">
        <v>7.59</v>
      </c>
      <c r="I13">
        <v>7.11</v>
      </c>
      <c r="J13">
        <v>6.72</v>
      </c>
      <c r="K13" s="10">
        <v>6.63</v>
      </c>
      <c r="N13" s="8">
        <f t="shared" si="2"/>
        <v>7.57</v>
      </c>
      <c r="O13" s="81">
        <f t="shared" si="3"/>
        <v>8.5399999999999991</v>
      </c>
      <c r="P13" s="81">
        <f t="shared" si="4"/>
        <v>5.25</v>
      </c>
      <c r="Q13" s="81">
        <f t="shared" si="5"/>
        <v>8.51</v>
      </c>
      <c r="R13" s="81">
        <f t="shared" si="6"/>
        <v>6.12</v>
      </c>
      <c r="S13" s="81">
        <f t="shared" si="7"/>
        <v>8.52</v>
      </c>
      <c r="T13" s="81">
        <f t="shared" si="8"/>
        <v>6.78</v>
      </c>
      <c r="U13" s="81">
        <f t="shared" si="9"/>
        <v>8.64</v>
      </c>
      <c r="V13" s="81">
        <f t="shared" si="10"/>
        <v>7.66</v>
      </c>
      <c r="W13" s="81">
        <f t="shared" si="11"/>
        <v>8.5299999999999994</v>
      </c>
      <c r="X13" s="81">
        <f t="shared" si="12"/>
        <v>7.57</v>
      </c>
      <c r="Y13" s="81">
        <f t="shared" si="13"/>
        <v>8.5</v>
      </c>
      <c r="Z13" s="81">
        <f t="shared" si="14"/>
        <v>7.11</v>
      </c>
      <c r="AA13" s="81">
        <f t="shared" si="15"/>
        <v>8.56</v>
      </c>
      <c r="AB13" s="81">
        <f t="shared" si="16"/>
        <v>6.72</v>
      </c>
      <c r="AC13" s="81">
        <f t="shared" si="17"/>
        <v>8.6300000000000008</v>
      </c>
      <c r="AD13" s="10">
        <f t="shared" si="18"/>
        <v>6.63</v>
      </c>
    </row>
    <row r="14" spans="1:30" x14ac:dyDescent="0.25">
      <c r="A14" s="141"/>
      <c r="B14" t="s">
        <v>72</v>
      </c>
      <c r="C14">
        <v>7.58</v>
      </c>
      <c r="D14">
        <v>5.23</v>
      </c>
      <c r="E14">
        <v>6.11</v>
      </c>
      <c r="F14">
        <v>6.56</v>
      </c>
      <c r="G14">
        <v>6.86</v>
      </c>
      <c r="H14">
        <v>6.24</v>
      </c>
      <c r="I14">
        <v>5.66</v>
      </c>
      <c r="J14">
        <v>6.55</v>
      </c>
      <c r="K14" s="10">
        <v>6.46</v>
      </c>
      <c r="N14" s="8">
        <f t="shared" si="2"/>
        <v>7.58</v>
      </c>
      <c r="O14" s="81">
        <f t="shared" si="3"/>
        <v>7.58</v>
      </c>
      <c r="P14" s="81">
        <f t="shared" si="4"/>
        <v>5.23</v>
      </c>
      <c r="Q14" s="81">
        <f t="shared" si="5"/>
        <v>7.55</v>
      </c>
      <c r="R14" s="81">
        <f t="shared" si="6"/>
        <v>6.11</v>
      </c>
      <c r="S14" s="81">
        <f t="shared" si="7"/>
        <v>7.15</v>
      </c>
      <c r="T14" s="81">
        <f t="shared" si="8"/>
        <v>6.56</v>
      </c>
      <c r="U14" s="81">
        <f t="shared" si="9"/>
        <v>7.15</v>
      </c>
      <c r="V14" s="81">
        <f t="shared" si="10"/>
        <v>6.86</v>
      </c>
      <c r="W14" s="81">
        <f t="shared" si="11"/>
        <v>7.08</v>
      </c>
      <c r="X14" s="81">
        <f t="shared" si="12"/>
        <v>7.58</v>
      </c>
      <c r="Y14" s="81">
        <f t="shared" si="13"/>
        <v>7.15</v>
      </c>
      <c r="Z14" s="81">
        <f t="shared" si="14"/>
        <v>5.66</v>
      </c>
      <c r="AA14" s="81">
        <f t="shared" si="15"/>
        <v>7.47</v>
      </c>
      <c r="AB14" s="81">
        <f t="shared" si="16"/>
        <v>6.55</v>
      </c>
      <c r="AC14" s="81">
        <f t="shared" si="17"/>
        <v>7.02</v>
      </c>
      <c r="AD14" s="10">
        <f t="shared" si="18"/>
        <v>6.46</v>
      </c>
    </row>
    <row r="15" spans="1:30" ht="15.75" thickBot="1" x14ac:dyDescent="0.3">
      <c r="A15" s="142"/>
      <c r="B15" s="18" t="s">
        <v>73</v>
      </c>
      <c r="C15" s="18">
        <v>7.57</v>
      </c>
      <c r="D15" s="18">
        <v>5.21</v>
      </c>
      <c r="E15" s="18">
        <v>6.08</v>
      </c>
      <c r="F15" s="18">
        <v>6.55</v>
      </c>
      <c r="G15" s="18">
        <v>6.8</v>
      </c>
      <c r="H15" s="18">
        <v>6.26</v>
      </c>
      <c r="I15" s="18">
        <v>5.68</v>
      </c>
      <c r="J15" s="18">
        <v>6.52</v>
      </c>
      <c r="K15" s="20">
        <v>6.53</v>
      </c>
      <c r="N15" s="16">
        <f t="shared" si="2"/>
        <v>7.57</v>
      </c>
      <c r="O15" s="18">
        <f t="shared" si="3"/>
        <v>7.57</v>
      </c>
      <c r="P15" s="18">
        <f t="shared" si="4"/>
        <v>5.21</v>
      </c>
      <c r="Q15" s="18">
        <f t="shared" si="5"/>
        <v>7.34</v>
      </c>
      <c r="R15" s="18">
        <f t="shared" si="6"/>
        <v>6.08</v>
      </c>
      <c r="S15" s="18">
        <f t="shared" si="7"/>
        <v>7.21</v>
      </c>
      <c r="T15" s="18">
        <f t="shared" si="8"/>
        <v>6.55</v>
      </c>
      <c r="U15" s="18">
        <f t="shared" si="9"/>
        <v>7.02</v>
      </c>
      <c r="V15" s="18">
        <f t="shared" si="10"/>
        <v>6.8</v>
      </c>
      <c r="W15" s="18">
        <f t="shared" si="11"/>
        <v>7.08</v>
      </c>
      <c r="X15" s="18">
        <f t="shared" si="12"/>
        <v>7.57</v>
      </c>
      <c r="Y15" s="18">
        <f t="shared" si="13"/>
        <v>7.04</v>
      </c>
      <c r="Z15" s="18">
        <f t="shared" si="14"/>
        <v>5.68</v>
      </c>
      <c r="AA15" s="18">
        <f t="shared" si="15"/>
        <v>7.38</v>
      </c>
      <c r="AB15" s="18">
        <f t="shared" si="16"/>
        <v>6.52</v>
      </c>
      <c r="AC15" s="18">
        <f t="shared" si="17"/>
        <v>7.01</v>
      </c>
      <c r="AD15" s="20">
        <f t="shared" si="18"/>
        <v>6.53</v>
      </c>
    </row>
    <row r="16" spans="1:30" ht="15.75" thickBot="1" x14ac:dyDescent="0.3">
      <c r="A16" s="140" t="s">
        <v>82</v>
      </c>
      <c r="B16" s="23" t="s">
        <v>57</v>
      </c>
      <c r="C16" s="23">
        <v>10.18</v>
      </c>
      <c r="D16" s="23">
        <v>10.130000000000001</v>
      </c>
      <c r="E16" s="23">
        <v>10.050000000000001</v>
      </c>
      <c r="F16" s="23">
        <v>10.08</v>
      </c>
      <c r="G16" s="23">
        <v>10.01</v>
      </c>
      <c r="H16" s="23">
        <v>10.06</v>
      </c>
      <c r="I16" s="23">
        <v>10.050000000000001</v>
      </c>
      <c r="J16" s="23">
        <v>10</v>
      </c>
      <c r="K16" s="24">
        <v>9.7200000000000006</v>
      </c>
    </row>
    <row r="17" spans="1:30" x14ac:dyDescent="0.25">
      <c r="A17" s="141"/>
      <c r="B17" t="s">
        <v>58</v>
      </c>
      <c r="C17">
        <v>10.18</v>
      </c>
      <c r="D17">
        <v>10.07</v>
      </c>
      <c r="E17">
        <v>10.06</v>
      </c>
      <c r="F17">
        <v>10.01</v>
      </c>
      <c r="G17">
        <v>10</v>
      </c>
      <c r="H17">
        <v>10.06</v>
      </c>
      <c r="I17">
        <v>10.050000000000001</v>
      </c>
      <c r="J17">
        <v>10.01</v>
      </c>
      <c r="K17" s="10">
        <v>9.75</v>
      </c>
      <c r="M17" s="101" t="s">
        <v>83</v>
      </c>
      <c r="N17" s="23">
        <f>N3</f>
        <v>0</v>
      </c>
      <c r="O17" s="23">
        <f t="shared" ref="O17:AD17" si="19">O3</f>
        <v>1E-4</v>
      </c>
      <c r="P17" s="23">
        <f t="shared" si="19"/>
        <v>1</v>
      </c>
      <c r="Q17" s="23">
        <f t="shared" si="19"/>
        <v>1.0001</v>
      </c>
      <c r="R17" s="23">
        <f t="shared" si="19"/>
        <v>2</v>
      </c>
      <c r="S17" s="23">
        <f t="shared" si="19"/>
        <v>2.0001000000000002</v>
      </c>
      <c r="T17" s="23">
        <f t="shared" si="19"/>
        <v>3</v>
      </c>
      <c r="U17" s="23">
        <f t="shared" si="19"/>
        <v>3.0001000000000002</v>
      </c>
      <c r="V17" s="23">
        <f t="shared" si="19"/>
        <v>4</v>
      </c>
      <c r="W17" s="23">
        <f t="shared" si="19"/>
        <v>4.0000999999999998</v>
      </c>
      <c r="X17" s="23">
        <f t="shared" si="19"/>
        <v>5</v>
      </c>
      <c r="Y17" s="23">
        <f t="shared" si="19"/>
        <v>5.0000999999999998</v>
      </c>
      <c r="Z17" s="23">
        <f t="shared" si="19"/>
        <v>6</v>
      </c>
      <c r="AA17" s="23">
        <f t="shared" si="19"/>
        <v>6.0000999999999998</v>
      </c>
      <c r="AB17" s="23">
        <f t="shared" si="19"/>
        <v>7</v>
      </c>
      <c r="AC17" s="23">
        <f t="shared" si="19"/>
        <v>7.0000999999999998</v>
      </c>
      <c r="AD17" s="24">
        <f t="shared" si="19"/>
        <v>8</v>
      </c>
    </row>
    <row r="18" spans="1:30" x14ac:dyDescent="0.25">
      <c r="A18" s="141"/>
      <c r="B18" t="s">
        <v>60</v>
      </c>
      <c r="C18">
        <v>8.59</v>
      </c>
      <c r="D18">
        <v>8.52</v>
      </c>
      <c r="E18">
        <v>8.5500000000000007</v>
      </c>
      <c r="F18">
        <v>8.5</v>
      </c>
      <c r="G18">
        <v>8.6300000000000008</v>
      </c>
      <c r="H18">
        <v>8.6</v>
      </c>
      <c r="I18">
        <v>8.59</v>
      </c>
      <c r="J18">
        <v>8.66</v>
      </c>
      <c r="K18" s="10">
        <v>6.76</v>
      </c>
      <c r="M18" s="33" t="s">
        <v>84</v>
      </c>
      <c r="N18" s="81">
        <f>AVERAGE(N4:N5)</f>
        <v>7.8149999999999995</v>
      </c>
      <c r="O18" s="81">
        <f t="shared" ref="O18:W18" si="20">AVERAGE(O4:O5)</f>
        <v>10.18</v>
      </c>
      <c r="P18" s="81">
        <f t="shared" si="20"/>
        <v>6.41</v>
      </c>
      <c r="Q18" s="81">
        <f t="shared" si="20"/>
        <v>10.100000000000001</v>
      </c>
      <c r="R18" s="81">
        <f t="shared" si="20"/>
        <v>9.4549999999999983</v>
      </c>
      <c r="S18" s="81">
        <f t="shared" si="20"/>
        <v>10.055</v>
      </c>
      <c r="T18" s="81">
        <f t="shared" si="20"/>
        <v>9.5250000000000004</v>
      </c>
      <c r="U18" s="81">
        <f t="shared" si="20"/>
        <v>10.045</v>
      </c>
      <c r="V18" s="81">
        <f t="shared" si="20"/>
        <v>9.73</v>
      </c>
      <c r="W18" s="81">
        <f t="shared" si="20"/>
        <v>10.004999999999999</v>
      </c>
      <c r="X18" s="81">
        <f>AVERAGE(X4:X5)</f>
        <v>8.8149999999999995</v>
      </c>
      <c r="Y18" s="81">
        <f t="shared" ref="Y18:AD18" si="21">AVERAGE(Y4:Y5)</f>
        <v>10.06</v>
      </c>
      <c r="Z18" s="81">
        <f t="shared" si="21"/>
        <v>9.8150000000000013</v>
      </c>
      <c r="AA18" s="81">
        <f t="shared" si="21"/>
        <v>10.050000000000001</v>
      </c>
      <c r="AB18" s="81">
        <f t="shared" si="21"/>
        <v>9.77</v>
      </c>
      <c r="AC18" s="81">
        <f t="shared" si="21"/>
        <v>10.004999999999999</v>
      </c>
      <c r="AD18" s="10">
        <f t="shared" si="21"/>
        <v>9.7349999999999994</v>
      </c>
    </row>
    <row r="19" spans="1:30" x14ac:dyDescent="0.25">
      <c r="A19" s="141"/>
      <c r="B19" t="s">
        <v>61</v>
      </c>
      <c r="C19">
        <v>8.6</v>
      </c>
      <c r="D19">
        <v>8.6</v>
      </c>
      <c r="E19">
        <v>8.58</v>
      </c>
      <c r="F19">
        <v>8.52</v>
      </c>
      <c r="G19">
        <v>8.5500000000000007</v>
      </c>
      <c r="H19">
        <v>8.52</v>
      </c>
      <c r="I19">
        <v>8.5299999999999994</v>
      </c>
      <c r="J19">
        <v>8.5399999999999991</v>
      </c>
      <c r="K19" s="10">
        <v>6.5</v>
      </c>
      <c r="M19" s="33" t="s">
        <v>85</v>
      </c>
      <c r="N19" s="81">
        <f>AVERAGE(N6:N7)</f>
        <v>7.5549999999999997</v>
      </c>
      <c r="O19" s="81">
        <f t="shared" ref="O19:W19" si="22">AVERAGE(O6:O7)</f>
        <v>8.5949999999999989</v>
      </c>
      <c r="P19" s="81">
        <f t="shared" si="22"/>
        <v>5.1099999999999994</v>
      </c>
      <c r="Q19" s="81">
        <f t="shared" si="22"/>
        <v>8.5599999999999987</v>
      </c>
      <c r="R19" s="81">
        <f t="shared" si="22"/>
        <v>6.17</v>
      </c>
      <c r="S19" s="81">
        <f t="shared" si="22"/>
        <v>8.5650000000000013</v>
      </c>
      <c r="T19" s="81">
        <f t="shared" si="22"/>
        <v>6.9399999999999995</v>
      </c>
      <c r="U19" s="81">
        <f t="shared" si="22"/>
        <v>8.51</v>
      </c>
      <c r="V19" s="81">
        <f t="shared" si="22"/>
        <v>7.29</v>
      </c>
      <c r="W19" s="81">
        <f t="shared" si="22"/>
        <v>8.59</v>
      </c>
      <c r="X19" s="81">
        <f>AVERAGE(X6:X7)</f>
        <v>7.5549999999999997</v>
      </c>
      <c r="Y19" s="81">
        <f t="shared" ref="Y19:AD19" si="23">AVERAGE(Y6:Y7)</f>
        <v>8.5599999999999987</v>
      </c>
      <c r="Z19" s="81">
        <f t="shared" si="23"/>
        <v>6.6099999999999994</v>
      </c>
      <c r="AA19" s="81">
        <f t="shared" si="23"/>
        <v>8.5599999999999987</v>
      </c>
      <c r="AB19" s="81">
        <f t="shared" si="23"/>
        <v>6.4950000000000001</v>
      </c>
      <c r="AC19" s="81">
        <f t="shared" si="23"/>
        <v>8.6</v>
      </c>
      <c r="AD19" s="10">
        <f t="shared" si="23"/>
        <v>6.63</v>
      </c>
    </row>
    <row r="20" spans="1:30" x14ac:dyDescent="0.25">
      <c r="A20" s="141"/>
      <c r="B20" t="s">
        <v>63</v>
      </c>
      <c r="C20">
        <v>7.54</v>
      </c>
      <c r="D20">
        <v>7.25</v>
      </c>
      <c r="E20">
        <v>7.14</v>
      </c>
      <c r="F20">
        <v>7.14</v>
      </c>
      <c r="G20">
        <v>6.98</v>
      </c>
      <c r="H20">
        <v>7.1</v>
      </c>
      <c r="I20">
        <v>7.05</v>
      </c>
      <c r="J20">
        <v>7.1</v>
      </c>
      <c r="K20" s="10">
        <v>6.83</v>
      </c>
      <c r="M20" s="33" t="s">
        <v>86</v>
      </c>
      <c r="N20" s="81">
        <f>AVERAGE(N8:N9)</f>
        <v>7.5449999999999999</v>
      </c>
      <c r="O20" s="81">
        <f t="shared" ref="O20:W20" si="24">AVERAGE(O8:O9)</f>
        <v>7.5449999999999999</v>
      </c>
      <c r="P20" s="81">
        <f t="shared" si="24"/>
        <v>5.1050000000000004</v>
      </c>
      <c r="Q20" s="81">
        <f t="shared" si="24"/>
        <v>7.3900000000000006</v>
      </c>
      <c r="R20" s="81">
        <f t="shared" si="24"/>
        <v>6.0350000000000001</v>
      </c>
      <c r="S20" s="81">
        <f t="shared" si="24"/>
        <v>7.1850000000000005</v>
      </c>
      <c r="T20" s="81">
        <f t="shared" si="24"/>
        <v>6.5449999999999999</v>
      </c>
      <c r="U20" s="81">
        <f t="shared" si="24"/>
        <v>7.085</v>
      </c>
      <c r="V20" s="81">
        <f t="shared" si="24"/>
        <v>6.8800000000000008</v>
      </c>
      <c r="W20" s="81">
        <f t="shared" si="24"/>
        <v>7.0150000000000006</v>
      </c>
      <c r="X20" s="81">
        <f>AVERAGE(X8:X9)</f>
        <v>7.5449999999999999</v>
      </c>
      <c r="Y20" s="81">
        <f t="shared" ref="Y20:AD20" si="25">AVERAGE(Y8:Y9)</f>
        <v>7.0549999999999997</v>
      </c>
      <c r="Z20" s="81">
        <f t="shared" si="25"/>
        <v>5.6549999999999994</v>
      </c>
      <c r="AA20" s="81">
        <f t="shared" si="25"/>
        <v>7.0350000000000001</v>
      </c>
      <c r="AB20" s="81">
        <f t="shared" si="25"/>
        <v>6.52</v>
      </c>
      <c r="AC20" s="81">
        <f t="shared" si="25"/>
        <v>7.1099999999999994</v>
      </c>
      <c r="AD20" s="10">
        <f t="shared" si="25"/>
        <v>6.875</v>
      </c>
    </row>
    <row r="21" spans="1:30" x14ac:dyDescent="0.25">
      <c r="A21" s="141"/>
      <c r="B21" t="s">
        <v>64</v>
      </c>
      <c r="C21">
        <v>7.55</v>
      </c>
      <c r="D21">
        <v>7.53</v>
      </c>
      <c r="E21">
        <v>7.23</v>
      </c>
      <c r="F21">
        <v>7.03</v>
      </c>
      <c r="G21">
        <v>7.05</v>
      </c>
      <c r="H21">
        <v>7.01</v>
      </c>
      <c r="I21">
        <v>7.02</v>
      </c>
      <c r="J21">
        <v>7.12</v>
      </c>
      <c r="K21" s="10">
        <v>6.92</v>
      </c>
      <c r="M21" s="33" t="s">
        <v>87</v>
      </c>
      <c r="N21" s="81">
        <f>AVERAGE(N10:N11)</f>
        <v>7.7850000000000001</v>
      </c>
      <c r="O21" s="81">
        <f t="shared" ref="O21:W21" si="26">AVERAGE(O10:O11)</f>
        <v>10.245000000000001</v>
      </c>
      <c r="P21" s="81">
        <f t="shared" si="26"/>
        <v>6.4749999999999996</v>
      </c>
      <c r="Q21" s="81">
        <f t="shared" si="26"/>
        <v>10.145</v>
      </c>
      <c r="R21" s="81">
        <f t="shared" si="26"/>
        <v>9.4149999999999991</v>
      </c>
      <c r="S21" s="81">
        <f t="shared" si="26"/>
        <v>10.055</v>
      </c>
      <c r="T21" s="81">
        <f t="shared" si="26"/>
        <v>9.5399999999999991</v>
      </c>
      <c r="U21" s="81">
        <f t="shared" si="26"/>
        <v>10.039999999999999</v>
      </c>
      <c r="V21" s="81">
        <f t="shared" si="26"/>
        <v>9.6349999999999998</v>
      </c>
      <c r="W21" s="81">
        <f t="shared" si="26"/>
        <v>10.030000000000001</v>
      </c>
      <c r="X21" s="81">
        <f>AVERAGE(X10:X11)</f>
        <v>7.7850000000000001</v>
      </c>
      <c r="Y21" s="81">
        <f t="shared" ref="Y21:AD21" si="27">AVERAGE(Y10:Y11)</f>
        <v>10.120000000000001</v>
      </c>
      <c r="Z21" s="81">
        <f t="shared" si="27"/>
        <v>9.86</v>
      </c>
      <c r="AA21" s="81">
        <f t="shared" si="27"/>
        <v>10.039999999999999</v>
      </c>
      <c r="AB21" s="81">
        <f t="shared" si="27"/>
        <v>9.75</v>
      </c>
      <c r="AC21" s="81">
        <f t="shared" si="27"/>
        <v>10.015000000000001</v>
      </c>
      <c r="AD21" s="10">
        <f t="shared" si="27"/>
        <v>9.75</v>
      </c>
    </row>
    <row r="22" spans="1:30" x14ac:dyDescent="0.25">
      <c r="A22" s="141"/>
      <c r="B22" t="s">
        <v>66</v>
      </c>
      <c r="C22">
        <v>10.24</v>
      </c>
      <c r="D22">
        <v>10.199999999999999</v>
      </c>
      <c r="E22">
        <v>10.08</v>
      </c>
      <c r="F22">
        <v>10.06</v>
      </c>
      <c r="G22">
        <v>10.050000000000001</v>
      </c>
      <c r="H22">
        <v>10.15</v>
      </c>
      <c r="I22">
        <v>10.07</v>
      </c>
      <c r="J22">
        <v>10.02</v>
      </c>
      <c r="K22" s="10">
        <v>9.74</v>
      </c>
      <c r="M22" s="33" t="s">
        <v>88</v>
      </c>
      <c r="N22" s="81">
        <f>AVERAGE(N12:N13)</f>
        <v>7.5750000000000002</v>
      </c>
      <c r="O22" s="81">
        <f t="shared" ref="O22:W22" si="28">AVERAGE(O12:O13)</f>
        <v>8.5649999999999995</v>
      </c>
      <c r="P22" s="81">
        <f t="shared" si="28"/>
        <v>5.2549999999999999</v>
      </c>
      <c r="Q22" s="81">
        <f t="shared" si="28"/>
        <v>8.5249999999999986</v>
      </c>
      <c r="R22" s="81">
        <f t="shared" si="28"/>
        <v>6.09</v>
      </c>
      <c r="S22" s="81">
        <f t="shared" si="28"/>
        <v>8.5449999999999999</v>
      </c>
      <c r="T22" s="81">
        <f t="shared" si="28"/>
        <v>6.7949999999999999</v>
      </c>
      <c r="U22" s="81">
        <f t="shared" si="28"/>
        <v>8.6150000000000002</v>
      </c>
      <c r="V22" s="81">
        <f t="shared" si="28"/>
        <v>7.4350000000000005</v>
      </c>
      <c r="W22" s="81">
        <f t="shared" si="28"/>
        <v>8.57</v>
      </c>
      <c r="X22" s="81">
        <f>AVERAGE(X12:X13)</f>
        <v>7.5750000000000002</v>
      </c>
      <c r="Y22" s="81">
        <f t="shared" ref="Y22:AD22" si="29">AVERAGE(Y12:Y13)</f>
        <v>8.5449999999999999</v>
      </c>
      <c r="Z22" s="81">
        <f t="shared" si="29"/>
        <v>6.98</v>
      </c>
      <c r="AA22" s="81">
        <f t="shared" si="29"/>
        <v>8.59</v>
      </c>
      <c r="AB22" s="81">
        <f t="shared" si="29"/>
        <v>6.64</v>
      </c>
      <c r="AC22" s="81">
        <f t="shared" si="29"/>
        <v>8.65</v>
      </c>
      <c r="AD22" s="10">
        <f t="shared" si="29"/>
        <v>6.6999999999999993</v>
      </c>
    </row>
    <row r="23" spans="1:30" ht="15.75" thickBot="1" x14ac:dyDescent="0.3">
      <c r="A23" s="141"/>
      <c r="B23" t="s">
        <v>67</v>
      </c>
      <c r="C23">
        <v>10.25</v>
      </c>
      <c r="D23">
        <v>10.09</v>
      </c>
      <c r="E23">
        <v>10.029999999999999</v>
      </c>
      <c r="F23">
        <v>10.02</v>
      </c>
      <c r="G23">
        <v>10.01</v>
      </c>
      <c r="H23">
        <v>10.09</v>
      </c>
      <c r="I23">
        <v>10.01</v>
      </c>
      <c r="J23">
        <v>10.01</v>
      </c>
      <c r="K23" s="10">
        <v>9.76</v>
      </c>
      <c r="M23" s="34" t="s">
        <v>89</v>
      </c>
      <c r="N23" s="18">
        <f>AVERAGE(N14:N15)</f>
        <v>7.5750000000000002</v>
      </c>
      <c r="O23" s="18">
        <f t="shared" ref="O23:W23" si="30">AVERAGE(O14:O15)</f>
        <v>7.5750000000000002</v>
      </c>
      <c r="P23" s="18">
        <f t="shared" si="30"/>
        <v>5.2200000000000006</v>
      </c>
      <c r="Q23" s="18">
        <f t="shared" si="30"/>
        <v>7.4450000000000003</v>
      </c>
      <c r="R23" s="18">
        <f t="shared" si="30"/>
        <v>6.0950000000000006</v>
      </c>
      <c r="S23" s="18">
        <f t="shared" si="30"/>
        <v>7.18</v>
      </c>
      <c r="T23" s="18">
        <f t="shared" si="30"/>
        <v>6.5549999999999997</v>
      </c>
      <c r="U23" s="18">
        <f t="shared" si="30"/>
        <v>7.085</v>
      </c>
      <c r="V23" s="18">
        <f t="shared" si="30"/>
        <v>6.83</v>
      </c>
      <c r="W23" s="18">
        <f t="shared" si="30"/>
        <v>7.08</v>
      </c>
      <c r="X23" s="18">
        <f>AVERAGE(X14:X15)</f>
        <v>7.5750000000000002</v>
      </c>
      <c r="Y23" s="18">
        <f t="shared" ref="Y23:AD23" si="31">AVERAGE(Y14:Y15)</f>
        <v>7.0950000000000006</v>
      </c>
      <c r="Z23" s="18">
        <f t="shared" si="31"/>
        <v>5.67</v>
      </c>
      <c r="AA23" s="18">
        <f t="shared" si="31"/>
        <v>7.4249999999999998</v>
      </c>
      <c r="AB23" s="18">
        <f t="shared" si="31"/>
        <v>6.5350000000000001</v>
      </c>
      <c r="AC23" s="18">
        <f t="shared" si="31"/>
        <v>7.0149999999999997</v>
      </c>
      <c r="AD23" s="20">
        <f t="shared" si="31"/>
        <v>6.4950000000000001</v>
      </c>
    </row>
    <row r="24" spans="1:30" ht="15.75" thickBot="1" x14ac:dyDescent="0.3">
      <c r="A24" s="141"/>
      <c r="B24" t="s">
        <v>69</v>
      </c>
      <c r="C24">
        <v>8.59</v>
      </c>
      <c r="D24">
        <v>8.5399999999999991</v>
      </c>
      <c r="E24">
        <v>8.57</v>
      </c>
      <c r="F24">
        <v>8.59</v>
      </c>
      <c r="G24">
        <v>8.61</v>
      </c>
      <c r="H24">
        <v>8.59</v>
      </c>
      <c r="I24">
        <v>8.6199999999999992</v>
      </c>
      <c r="J24">
        <v>8.67</v>
      </c>
      <c r="K24" s="10">
        <v>6.77</v>
      </c>
    </row>
    <row r="25" spans="1:30" x14ac:dyDescent="0.25">
      <c r="A25" s="141"/>
      <c r="B25" t="s">
        <v>70</v>
      </c>
      <c r="C25">
        <v>8.5399999999999991</v>
      </c>
      <c r="D25">
        <v>8.51</v>
      </c>
      <c r="E25">
        <v>8.52</v>
      </c>
      <c r="F25">
        <v>8.64</v>
      </c>
      <c r="G25">
        <v>8.5299999999999994</v>
      </c>
      <c r="H25">
        <v>8.5</v>
      </c>
      <c r="I25">
        <v>8.56</v>
      </c>
      <c r="J25">
        <v>8.6300000000000008</v>
      </c>
      <c r="K25" s="10">
        <v>6.63</v>
      </c>
      <c r="M25" s="101" t="s">
        <v>90</v>
      </c>
      <c r="N25" s="23">
        <v>0</v>
      </c>
      <c r="O25" s="23">
        <v>1</v>
      </c>
      <c r="P25" s="23">
        <v>2</v>
      </c>
      <c r="Q25" s="23">
        <v>3</v>
      </c>
      <c r="R25" s="23">
        <v>4</v>
      </c>
      <c r="S25" s="23">
        <v>5</v>
      </c>
      <c r="T25" s="23">
        <v>6</v>
      </c>
      <c r="U25" s="23">
        <v>7</v>
      </c>
      <c r="V25" s="23">
        <v>8</v>
      </c>
      <c r="W25" s="24" t="s">
        <v>39</v>
      </c>
    </row>
    <row r="26" spans="1:30" x14ac:dyDescent="0.25">
      <c r="A26" s="141"/>
      <c r="B26" t="s">
        <v>72</v>
      </c>
      <c r="C26">
        <v>7.58</v>
      </c>
      <c r="D26">
        <v>7.55</v>
      </c>
      <c r="E26">
        <v>7.15</v>
      </c>
      <c r="F26">
        <v>7.15</v>
      </c>
      <c r="G26">
        <v>7.08</v>
      </c>
      <c r="H26">
        <v>7.15</v>
      </c>
      <c r="I26">
        <v>7.47</v>
      </c>
      <c r="J26">
        <v>7.02</v>
      </c>
      <c r="K26" s="10">
        <v>6.46</v>
      </c>
      <c r="M26" s="33" t="s">
        <v>84</v>
      </c>
      <c r="N26" s="81">
        <f>AVERAGE(O18)</f>
        <v>10.18</v>
      </c>
      <c r="O26" s="81">
        <f>AVERAGE(O18:P18)</f>
        <v>8.2949999999999999</v>
      </c>
      <c r="P26" s="81">
        <f>AVERAGE(Q18:R18)</f>
        <v>9.7774999999999999</v>
      </c>
      <c r="Q26" s="81">
        <f>AVERAGE(S18:T18)</f>
        <v>9.7899999999999991</v>
      </c>
      <c r="R26" s="81">
        <f>AVERAGE(U18:V18)</f>
        <v>9.8874999999999993</v>
      </c>
      <c r="S26" s="81">
        <f>AVERAGE(W18:X18)</f>
        <v>9.41</v>
      </c>
      <c r="T26" s="81">
        <f>AVERAGE(Y18:Z18)</f>
        <v>9.9375</v>
      </c>
      <c r="U26" s="81">
        <f>AVERAGE(AA18:AB18)</f>
        <v>9.91</v>
      </c>
      <c r="V26" s="81">
        <f>AVERAGE(AC18:AD18)</f>
        <v>9.8699999999999992</v>
      </c>
      <c r="W26" s="102">
        <f>AVERAGE(N26:V26)</f>
        <v>9.6730555555555569</v>
      </c>
    </row>
    <row r="27" spans="1:30" ht="15.75" thickBot="1" x14ac:dyDescent="0.3">
      <c r="A27" s="142"/>
      <c r="B27" s="18" t="s">
        <v>73</v>
      </c>
      <c r="C27" s="18">
        <v>7.57</v>
      </c>
      <c r="D27" s="18">
        <v>7.34</v>
      </c>
      <c r="E27" s="18">
        <v>7.21</v>
      </c>
      <c r="F27" s="18">
        <v>7.02</v>
      </c>
      <c r="G27" s="18">
        <v>7.08</v>
      </c>
      <c r="H27" s="18">
        <v>7.04</v>
      </c>
      <c r="I27" s="18">
        <v>7.38</v>
      </c>
      <c r="J27" s="18">
        <v>7.01</v>
      </c>
      <c r="K27" s="20">
        <v>6.53</v>
      </c>
      <c r="M27" s="33" t="s">
        <v>85</v>
      </c>
      <c r="N27" s="81">
        <f t="shared" ref="N27:N31" si="32">AVERAGE(O19)</f>
        <v>8.5949999999999989</v>
      </c>
      <c r="O27" s="81">
        <f t="shared" ref="O27:O31" si="33">AVERAGE(O19:P19)</f>
        <v>6.8524999999999991</v>
      </c>
      <c r="P27" s="81">
        <f t="shared" ref="P27:P31" si="34">AVERAGE(Q19:R19)</f>
        <v>7.3649999999999993</v>
      </c>
      <c r="Q27" s="81">
        <f t="shared" ref="Q27:Q31" si="35">AVERAGE(S19:T19)</f>
        <v>7.7525000000000004</v>
      </c>
      <c r="R27" s="81">
        <f t="shared" ref="R27:R31" si="36">AVERAGE(U19:V19)</f>
        <v>7.9</v>
      </c>
      <c r="S27" s="81">
        <f t="shared" ref="S27:S31" si="37">AVERAGE(W19:X19)</f>
        <v>8.0724999999999998</v>
      </c>
      <c r="T27" s="81">
        <f t="shared" ref="T27:T31" si="38">AVERAGE(Y19:Z19)</f>
        <v>7.5849999999999991</v>
      </c>
      <c r="U27" s="81">
        <f t="shared" ref="U27:U31" si="39">AVERAGE(AA19:AB19)</f>
        <v>7.5274999999999999</v>
      </c>
      <c r="V27" s="81">
        <f t="shared" ref="V27:V31" si="40">AVERAGE(AC19:AD19)</f>
        <v>7.6150000000000002</v>
      </c>
      <c r="W27" s="102">
        <f t="shared" ref="W27:W31" si="41">AVERAGE(N27:V27)</f>
        <v>7.6961111111111098</v>
      </c>
    </row>
    <row r="28" spans="1:30" ht="14.45" customHeight="1" x14ac:dyDescent="0.25">
      <c r="A28" s="137" t="s">
        <v>91</v>
      </c>
      <c r="B28" s="23" t="s">
        <v>57</v>
      </c>
      <c r="C28" s="23">
        <v>22</v>
      </c>
      <c r="D28" s="23">
        <v>75</v>
      </c>
      <c r="E28" s="23">
        <v>17</v>
      </c>
      <c r="F28" s="23">
        <v>22</v>
      </c>
      <c r="G28" s="23">
        <v>11</v>
      </c>
      <c r="H28" s="23">
        <v>12</v>
      </c>
      <c r="I28" s="23">
        <v>10</v>
      </c>
      <c r="J28" s="23">
        <v>10</v>
      </c>
      <c r="K28" s="24">
        <v>0</v>
      </c>
      <c r="M28" s="33" t="s">
        <v>86</v>
      </c>
      <c r="N28" s="81">
        <f t="shared" si="32"/>
        <v>7.5449999999999999</v>
      </c>
      <c r="O28" s="81">
        <f t="shared" si="33"/>
        <v>6.3250000000000002</v>
      </c>
      <c r="P28" s="81">
        <f t="shared" si="34"/>
        <v>6.7125000000000004</v>
      </c>
      <c r="Q28" s="81">
        <f t="shared" si="35"/>
        <v>6.8650000000000002</v>
      </c>
      <c r="R28" s="81">
        <f t="shared" si="36"/>
        <v>6.9824999999999999</v>
      </c>
      <c r="S28" s="81">
        <f t="shared" si="37"/>
        <v>7.28</v>
      </c>
      <c r="T28" s="81">
        <f t="shared" si="38"/>
        <v>6.3549999999999995</v>
      </c>
      <c r="U28" s="81">
        <f t="shared" si="39"/>
        <v>6.7774999999999999</v>
      </c>
      <c r="V28" s="81">
        <f t="shared" si="40"/>
        <v>6.9924999999999997</v>
      </c>
      <c r="W28" s="102">
        <f t="shared" si="41"/>
        <v>6.8705555555555557</v>
      </c>
    </row>
    <row r="29" spans="1:30" x14ac:dyDescent="0.25">
      <c r="A29" s="138"/>
      <c r="B29" t="s">
        <v>58</v>
      </c>
      <c r="C29">
        <v>24</v>
      </c>
      <c r="D29">
        <v>75</v>
      </c>
      <c r="E29">
        <v>22</v>
      </c>
      <c r="F29">
        <v>21</v>
      </c>
      <c r="G29">
        <v>12</v>
      </c>
      <c r="H29">
        <v>12</v>
      </c>
      <c r="I29">
        <v>10</v>
      </c>
      <c r="J29">
        <v>10</v>
      </c>
      <c r="K29" s="10">
        <v>0</v>
      </c>
      <c r="M29" s="33" t="s">
        <v>87</v>
      </c>
      <c r="N29" s="81">
        <f t="shared" si="32"/>
        <v>10.245000000000001</v>
      </c>
      <c r="O29" s="81">
        <f t="shared" si="33"/>
        <v>8.36</v>
      </c>
      <c r="P29" s="81">
        <f t="shared" si="34"/>
        <v>9.7799999999999994</v>
      </c>
      <c r="Q29" s="81">
        <f t="shared" si="35"/>
        <v>9.7974999999999994</v>
      </c>
      <c r="R29" s="81">
        <f t="shared" si="36"/>
        <v>9.8374999999999986</v>
      </c>
      <c r="S29" s="81">
        <f t="shared" si="37"/>
        <v>8.9075000000000006</v>
      </c>
      <c r="T29" s="81">
        <f t="shared" si="38"/>
        <v>9.99</v>
      </c>
      <c r="U29" s="81">
        <f t="shared" si="39"/>
        <v>9.8949999999999996</v>
      </c>
      <c r="V29" s="81">
        <f t="shared" si="40"/>
        <v>9.8825000000000003</v>
      </c>
      <c r="W29" s="102">
        <f t="shared" si="41"/>
        <v>9.6327777777777772</v>
      </c>
    </row>
    <row r="30" spans="1:30" x14ac:dyDescent="0.25">
      <c r="A30" s="138"/>
      <c r="B30" t="s">
        <v>60</v>
      </c>
      <c r="C30">
        <v>4</v>
      </c>
      <c r="D30">
        <v>65</v>
      </c>
      <c r="E30">
        <v>25</v>
      </c>
      <c r="F30">
        <v>15</v>
      </c>
      <c r="G30">
        <v>10</v>
      </c>
      <c r="H30">
        <v>13</v>
      </c>
      <c r="I30">
        <v>15</v>
      </c>
      <c r="J30">
        <v>20</v>
      </c>
      <c r="K30" s="10">
        <v>0</v>
      </c>
      <c r="M30" s="33" t="s">
        <v>88</v>
      </c>
      <c r="N30" s="81">
        <f t="shared" si="32"/>
        <v>8.5649999999999995</v>
      </c>
      <c r="O30" s="81">
        <f t="shared" si="33"/>
        <v>6.91</v>
      </c>
      <c r="P30" s="81">
        <f t="shared" si="34"/>
        <v>7.3074999999999992</v>
      </c>
      <c r="Q30" s="81">
        <f t="shared" si="35"/>
        <v>7.67</v>
      </c>
      <c r="R30" s="81">
        <f t="shared" si="36"/>
        <v>8.0250000000000004</v>
      </c>
      <c r="S30" s="81">
        <f t="shared" si="37"/>
        <v>8.0724999999999998</v>
      </c>
      <c r="T30" s="81">
        <f t="shared" si="38"/>
        <v>7.7625000000000002</v>
      </c>
      <c r="U30" s="81">
        <f t="shared" si="39"/>
        <v>7.6150000000000002</v>
      </c>
      <c r="V30" s="81">
        <f t="shared" si="40"/>
        <v>7.6749999999999998</v>
      </c>
      <c r="W30" s="102">
        <f t="shared" si="41"/>
        <v>7.7336111111111121</v>
      </c>
    </row>
    <row r="31" spans="1:30" ht="15.75" thickBot="1" x14ac:dyDescent="0.3">
      <c r="A31" s="138"/>
      <c r="B31" t="s">
        <v>61</v>
      </c>
      <c r="C31">
        <v>4</v>
      </c>
      <c r="D31">
        <v>70</v>
      </c>
      <c r="E31">
        <v>30</v>
      </c>
      <c r="F31">
        <v>13</v>
      </c>
      <c r="G31">
        <v>11</v>
      </c>
      <c r="H31">
        <v>14</v>
      </c>
      <c r="I31">
        <v>16</v>
      </c>
      <c r="J31">
        <v>20</v>
      </c>
      <c r="K31" s="10">
        <v>0</v>
      </c>
      <c r="M31" s="34" t="s">
        <v>89</v>
      </c>
      <c r="N31" s="18">
        <f t="shared" si="32"/>
        <v>7.5750000000000002</v>
      </c>
      <c r="O31" s="18">
        <f t="shared" si="33"/>
        <v>6.3975000000000009</v>
      </c>
      <c r="P31" s="18">
        <f t="shared" si="34"/>
        <v>6.7700000000000005</v>
      </c>
      <c r="Q31" s="18">
        <f t="shared" si="35"/>
        <v>6.8674999999999997</v>
      </c>
      <c r="R31" s="18">
        <f t="shared" si="36"/>
        <v>6.9574999999999996</v>
      </c>
      <c r="S31" s="18">
        <f t="shared" si="37"/>
        <v>7.3275000000000006</v>
      </c>
      <c r="T31" s="18">
        <f t="shared" si="38"/>
        <v>6.3825000000000003</v>
      </c>
      <c r="U31" s="18">
        <f t="shared" si="39"/>
        <v>6.98</v>
      </c>
      <c r="V31" s="18">
        <f t="shared" si="40"/>
        <v>6.7549999999999999</v>
      </c>
      <c r="W31" s="103">
        <f t="shared" si="41"/>
        <v>6.8902777777777775</v>
      </c>
    </row>
    <row r="32" spans="1:30" x14ac:dyDescent="0.25">
      <c r="A32" s="138"/>
      <c r="B32" t="s">
        <v>63</v>
      </c>
      <c r="C32">
        <v>0</v>
      </c>
      <c r="D32">
        <v>48</v>
      </c>
      <c r="E32">
        <v>15</v>
      </c>
      <c r="F32">
        <v>9</v>
      </c>
      <c r="G32">
        <v>0</v>
      </c>
      <c r="H32">
        <v>7</v>
      </c>
      <c r="I32">
        <v>20</v>
      </c>
      <c r="J32">
        <v>6</v>
      </c>
      <c r="K32" s="10">
        <v>0</v>
      </c>
    </row>
    <row r="33" spans="1:11" x14ac:dyDescent="0.25">
      <c r="A33" s="138"/>
      <c r="B33" t="s">
        <v>64</v>
      </c>
      <c r="C33">
        <v>0</v>
      </c>
      <c r="D33">
        <v>50</v>
      </c>
      <c r="E33">
        <v>13</v>
      </c>
      <c r="F33">
        <v>5</v>
      </c>
      <c r="G33">
        <v>4</v>
      </c>
      <c r="H33">
        <v>14</v>
      </c>
      <c r="I33">
        <v>20</v>
      </c>
      <c r="J33">
        <v>5</v>
      </c>
      <c r="K33" s="10">
        <v>0</v>
      </c>
    </row>
    <row r="34" spans="1:11" x14ac:dyDescent="0.25">
      <c r="A34" s="138"/>
      <c r="B34" t="s">
        <v>66</v>
      </c>
      <c r="C34">
        <v>24</v>
      </c>
      <c r="D34">
        <v>75</v>
      </c>
      <c r="E34">
        <v>15</v>
      </c>
      <c r="F34">
        <v>20</v>
      </c>
      <c r="G34">
        <v>14</v>
      </c>
      <c r="H34">
        <v>12</v>
      </c>
      <c r="I34">
        <v>7</v>
      </c>
      <c r="J34">
        <v>9</v>
      </c>
      <c r="K34" s="10">
        <v>0</v>
      </c>
    </row>
    <row r="35" spans="1:11" x14ac:dyDescent="0.25">
      <c r="A35" s="138"/>
      <c r="B35" t="s">
        <v>67</v>
      </c>
      <c r="C35">
        <v>22</v>
      </c>
      <c r="D35">
        <v>70</v>
      </c>
      <c r="E35">
        <v>18</v>
      </c>
      <c r="F35">
        <v>20</v>
      </c>
      <c r="G35">
        <v>14</v>
      </c>
      <c r="H35">
        <v>11</v>
      </c>
      <c r="I35">
        <v>7</v>
      </c>
      <c r="J35">
        <v>13</v>
      </c>
      <c r="K35" s="10">
        <v>0</v>
      </c>
    </row>
    <row r="36" spans="1:11" ht="15" customHeight="1" x14ac:dyDescent="0.25">
      <c r="A36" s="138"/>
      <c r="B36" t="s">
        <v>69</v>
      </c>
      <c r="C36">
        <v>4</v>
      </c>
      <c r="D36">
        <v>60</v>
      </c>
      <c r="E36">
        <v>30</v>
      </c>
      <c r="F36">
        <v>17</v>
      </c>
      <c r="G36">
        <v>10</v>
      </c>
      <c r="H36">
        <v>9</v>
      </c>
      <c r="I36">
        <v>12</v>
      </c>
      <c r="J36">
        <v>22</v>
      </c>
      <c r="K36" s="10">
        <v>0</v>
      </c>
    </row>
    <row r="37" spans="1:11" x14ac:dyDescent="0.25">
      <c r="A37" s="138"/>
      <c r="B37" t="s">
        <v>70</v>
      </c>
      <c r="C37">
        <v>4</v>
      </c>
      <c r="D37">
        <v>70</v>
      </c>
      <c r="E37">
        <v>30</v>
      </c>
      <c r="F37">
        <v>18</v>
      </c>
      <c r="G37">
        <v>7</v>
      </c>
      <c r="H37">
        <v>8</v>
      </c>
      <c r="I37">
        <v>11</v>
      </c>
      <c r="J37">
        <v>20</v>
      </c>
      <c r="K37" s="10">
        <v>0</v>
      </c>
    </row>
    <row r="38" spans="1:11" x14ac:dyDescent="0.25">
      <c r="A38" s="138"/>
      <c r="B38" t="s">
        <v>72</v>
      </c>
      <c r="C38">
        <v>0</v>
      </c>
      <c r="D38">
        <v>50</v>
      </c>
      <c r="E38">
        <v>12</v>
      </c>
      <c r="F38">
        <v>7</v>
      </c>
      <c r="G38">
        <v>2</v>
      </c>
      <c r="H38">
        <v>10</v>
      </c>
      <c r="I38">
        <v>25</v>
      </c>
      <c r="J38">
        <v>5</v>
      </c>
      <c r="K38" s="10">
        <v>0</v>
      </c>
    </row>
    <row r="39" spans="1:11" ht="15.75" thickBot="1" x14ac:dyDescent="0.3">
      <c r="A39" s="139"/>
      <c r="B39" s="18" t="s">
        <v>73</v>
      </c>
      <c r="C39" s="18">
        <v>0</v>
      </c>
      <c r="D39" s="18">
        <v>50</v>
      </c>
      <c r="E39" s="18">
        <v>14</v>
      </c>
      <c r="F39" s="18">
        <v>7</v>
      </c>
      <c r="G39" s="18">
        <v>3</v>
      </c>
      <c r="H39" s="18">
        <v>12</v>
      </c>
      <c r="I39" s="18">
        <v>20</v>
      </c>
      <c r="J39" s="18">
        <v>5</v>
      </c>
      <c r="K39" s="20">
        <v>0</v>
      </c>
    </row>
    <row r="40" spans="1:11" ht="14.45" customHeight="1" x14ac:dyDescent="0.25">
      <c r="A40" s="137" t="s">
        <v>92</v>
      </c>
      <c r="B40" s="23" t="s">
        <v>57</v>
      </c>
      <c r="C40" s="23">
        <f t="shared" ref="C40:C51" si="42">C28</f>
        <v>22</v>
      </c>
      <c r="D40" s="23">
        <f>D28+C40</f>
        <v>97</v>
      </c>
      <c r="E40" s="23">
        <f>E28+D40</f>
        <v>114</v>
      </c>
      <c r="F40" s="23">
        <f t="shared" ref="F40:K40" si="43">F28+E40</f>
        <v>136</v>
      </c>
      <c r="G40" s="23">
        <f t="shared" si="43"/>
        <v>147</v>
      </c>
      <c r="H40" s="23">
        <f t="shared" si="43"/>
        <v>159</v>
      </c>
      <c r="I40" s="23">
        <f t="shared" si="43"/>
        <v>169</v>
      </c>
      <c r="J40" s="23">
        <f t="shared" si="43"/>
        <v>179</v>
      </c>
      <c r="K40" s="24">
        <f t="shared" si="43"/>
        <v>179</v>
      </c>
    </row>
    <row r="41" spans="1:11" x14ac:dyDescent="0.25">
      <c r="A41" s="138"/>
      <c r="B41" t="s">
        <v>58</v>
      </c>
      <c r="C41">
        <f t="shared" si="42"/>
        <v>24</v>
      </c>
      <c r="D41">
        <f>D29+C41</f>
        <v>99</v>
      </c>
      <c r="E41">
        <f>E29+D41</f>
        <v>121</v>
      </c>
      <c r="F41">
        <f t="shared" ref="F41:K41" si="44">F29+E41</f>
        <v>142</v>
      </c>
      <c r="G41">
        <f t="shared" si="44"/>
        <v>154</v>
      </c>
      <c r="H41">
        <f t="shared" si="44"/>
        <v>166</v>
      </c>
      <c r="I41">
        <f t="shared" si="44"/>
        <v>176</v>
      </c>
      <c r="J41">
        <f t="shared" si="44"/>
        <v>186</v>
      </c>
      <c r="K41" s="10">
        <f t="shared" si="44"/>
        <v>186</v>
      </c>
    </row>
    <row r="42" spans="1:11" x14ac:dyDescent="0.25">
      <c r="A42" s="138"/>
      <c r="B42" t="s">
        <v>60</v>
      </c>
      <c r="C42">
        <f t="shared" si="42"/>
        <v>4</v>
      </c>
      <c r="D42">
        <f t="shared" ref="D42:D51" si="45">D30+C42</f>
        <v>69</v>
      </c>
      <c r="E42">
        <f t="shared" ref="E42:K42" si="46">E30+D42</f>
        <v>94</v>
      </c>
      <c r="F42">
        <f t="shared" si="46"/>
        <v>109</v>
      </c>
      <c r="G42">
        <f t="shared" si="46"/>
        <v>119</v>
      </c>
      <c r="H42">
        <f t="shared" si="46"/>
        <v>132</v>
      </c>
      <c r="I42">
        <f t="shared" si="46"/>
        <v>147</v>
      </c>
      <c r="J42">
        <f t="shared" si="46"/>
        <v>167</v>
      </c>
      <c r="K42" s="10">
        <f t="shared" si="46"/>
        <v>167</v>
      </c>
    </row>
    <row r="43" spans="1:11" x14ac:dyDescent="0.25">
      <c r="A43" s="138"/>
      <c r="B43" t="s">
        <v>61</v>
      </c>
      <c r="C43">
        <f t="shared" si="42"/>
        <v>4</v>
      </c>
      <c r="D43">
        <f t="shared" si="45"/>
        <v>74</v>
      </c>
      <c r="E43">
        <f t="shared" ref="E43:K43" si="47">E31+D43</f>
        <v>104</v>
      </c>
      <c r="F43">
        <f t="shared" si="47"/>
        <v>117</v>
      </c>
      <c r="G43">
        <f t="shared" si="47"/>
        <v>128</v>
      </c>
      <c r="H43">
        <f t="shared" si="47"/>
        <v>142</v>
      </c>
      <c r="I43">
        <f t="shared" si="47"/>
        <v>158</v>
      </c>
      <c r="J43">
        <f t="shared" si="47"/>
        <v>178</v>
      </c>
      <c r="K43" s="10">
        <f t="shared" si="47"/>
        <v>178</v>
      </c>
    </row>
    <row r="44" spans="1:11" x14ac:dyDescent="0.25">
      <c r="A44" s="138"/>
      <c r="B44" t="s">
        <v>63</v>
      </c>
      <c r="C44">
        <f t="shared" si="42"/>
        <v>0</v>
      </c>
      <c r="D44">
        <f t="shared" si="45"/>
        <v>48</v>
      </c>
      <c r="E44">
        <f t="shared" ref="E44:K44" si="48">E32+D44</f>
        <v>63</v>
      </c>
      <c r="F44">
        <f t="shared" si="48"/>
        <v>72</v>
      </c>
      <c r="G44">
        <f t="shared" si="48"/>
        <v>72</v>
      </c>
      <c r="H44">
        <f t="shared" si="48"/>
        <v>79</v>
      </c>
      <c r="I44">
        <f t="shared" si="48"/>
        <v>99</v>
      </c>
      <c r="J44">
        <f t="shared" si="48"/>
        <v>105</v>
      </c>
      <c r="K44" s="10">
        <f t="shared" si="48"/>
        <v>105</v>
      </c>
    </row>
    <row r="45" spans="1:11" x14ac:dyDescent="0.25">
      <c r="A45" s="138"/>
      <c r="B45" t="s">
        <v>64</v>
      </c>
      <c r="C45">
        <f t="shared" si="42"/>
        <v>0</v>
      </c>
      <c r="D45">
        <f t="shared" si="45"/>
        <v>50</v>
      </c>
      <c r="E45">
        <f t="shared" ref="E45:K45" si="49">E33+D45</f>
        <v>63</v>
      </c>
      <c r="F45">
        <f t="shared" si="49"/>
        <v>68</v>
      </c>
      <c r="G45">
        <f t="shared" si="49"/>
        <v>72</v>
      </c>
      <c r="H45">
        <f t="shared" si="49"/>
        <v>86</v>
      </c>
      <c r="I45">
        <f t="shared" si="49"/>
        <v>106</v>
      </c>
      <c r="J45">
        <f t="shared" si="49"/>
        <v>111</v>
      </c>
      <c r="K45" s="10">
        <f t="shared" si="49"/>
        <v>111</v>
      </c>
    </row>
    <row r="46" spans="1:11" x14ac:dyDescent="0.25">
      <c r="A46" s="138"/>
      <c r="B46" t="s">
        <v>66</v>
      </c>
      <c r="C46">
        <f t="shared" si="42"/>
        <v>24</v>
      </c>
      <c r="D46">
        <f t="shared" si="45"/>
        <v>99</v>
      </c>
      <c r="E46">
        <f t="shared" ref="E46:K46" si="50">E34+D46</f>
        <v>114</v>
      </c>
      <c r="F46">
        <f t="shared" si="50"/>
        <v>134</v>
      </c>
      <c r="G46">
        <f t="shared" si="50"/>
        <v>148</v>
      </c>
      <c r="H46">
        <f t="shared" si="50"/>
        <v>160</v>
      </c>
      <c r="I46">
        <f t="shared" si="50"/>
        <v>167</v>
      </c>
      <c r="J46">
        <f t="shared" si="50"/>
        <v>176</v>
      </c>
      <c r="K46" s="10">
        <f t="shared" si="50"/>
        <v>176</v>
      </c>
    </row>
    <row r="47" spans="1:11" x14ac:dyDescent="0.25">
      <c r="A47" s="138"/>
      <c r="B47" t="s">
        <v>67</v>
      </c>
      <c r="C47">
        <f t="shared" si="42"/>
        <v>22</v>
      </c>
      <c r="D47">
        <f t="shared" si="45"/>
        <v>92</v>
      </c>
      <c r="E47">
        <f t="shared" ref="E47:K47" si="51">E35+D47</f>
        <v>110</v>
      </c>
      <c r="F47">
        <f t="shared" si="51"/>
        <v>130</v>
      </c>
      <c r="G47">
        <f t="shared" si="51"/>
        <v>144</v>
      </c>
      <c r="H47">
        <f t="shared" si="51"/>
        <v>155</v>
      </c>
      <c r="I47">
        <f t="shared" si="51"/>
        <v>162</v>
      </c>
      <c r="J47">
        <f t="shared" si="51"/>
        <v>175</v>
      </c>
      <c r="K47" s="10">
        <f t="shared" si="51"/>
        <v>175</v>
      </c>
    </row>
    <row r="48" spans="1:11" x14ac:dyDescent="0.25">
      <c r="A48" s="138"/>
      <c r="B48" t="s">
        <v>69</v>
      </c>
      <c r="C48">
        <f t="shared" si="42"/>
        <v>4</v>
      </c>
      <c r="D48">
        <f t="shared" si="45"/>
        <v>64</v>
      </c>
      <c r="E48">
        <f t="shared" ref="E48:K48" si="52">E36+D48</f>
        <v>94</v>
      </c>
      <c r="F48">
        <f t="shared" si="52"/>
        <v>111</v>
      </c>
      <c r="G48">
        <f t="shared" si="52"/>
        <v>121</v>
      </c>
      <c r="H48">
        <f t="shared" si="52"/>
        <v>130</v>
      </c>
      <c r="I48">
        <f t="shared" si="52"/>
        <v>142</v>
      </c>
      <c r="J48">
        <f t="shared" si="52"/>
        <v>164</v>
      </c>
      <c r="K48" s="10">
        <f t="shared" si="52"/>
        <v>164</v>
      </c>
    </row>
    <row r="49" spans="1:11" x14ac:dyDescent="0.25">
      <c r="A49" s="138"/>
      <c r="B49" t="s">
        <v>70</v>
      </c>
      <c r="C49">
        <f t="shared" si="42"/>
        <v>4</v>
      </c>
      <c r="D49">
        <f t="shared" si="45"/>
        <v>74</v>
      </c>
      <c r="E49">
        <f t="shared" ref="E49:K49" si="53">E37+D49</f>
        <v>104</v>
      </c>
      <c r="F49">
        <f t="shared" si="53"/>
        <v>122</v>
      </c>
      <c r="G49">
        <f t="shared" si="53"/>
        <v>129</v>
      </c>
      <c r="H49">
        <f t="shared" si="53"/>
        <v>137</v>
      </c>
      <c r="I49">
        <f t="shared" si="53"/>
        <v>148</v>
      </c>
      <c r="J49">
        <f t="shared" si="53"/>
        <v>168</v>
      </c>
      <c r="K49" s="10">
        <f t="shared" si="53"/>
        <v>168</v>
      </c>
    </row>
    <row r="50" spans="1:11" x14ac:dyDescent="0.25">
      <c r="A50" s="138"/>
      <c r="B50" t="s">
        <v>72</v>
      </c>
      <c r="C50">
        <f t="shared" si="42"/>
        <v>0</v>
      </c>
      <c r="D50">
        <f t="shared" si="45"/>
        <v>50</v>
      </c>
      <c r="E50">
        <f t="shared" ref="E50:K50" si="54">E38+D50</f>
        <v>62</v>
      </c>
      <c r="F50">
        <f t="shared" si="54"/>
        <v>69</v>
      </c>
      <c r="G50">
        <f t="shared" si="54"/>
        <v>71</v>
      </c>
      <c r="H50">
        <f t="shared" si="54"/>
        <v>81</v>
      </c>
      <c r="I50">
        <f t="shared" si="54"/>
        <v>106</v>
      </c>
      <c r="J50">
        <f t="shared" si="54"/>
        <v>111</v>
      </c>
      <c r="K50" s="10">
        <f t="shared" si="54"/>
        <v>111</v>
      </c>
    </row>
    <row r="51" spans="1:11" ht="15.75" thickBot="1" x14ac:dyDescent="0.3">
      <c r="A51" s="139"/>
      <c r="B51" s="18" t="s">
        <v>73</v>
      </c>
      <c r="C51" s="18">
        <f t="shared" si="42"/>
        <v>0</v>
      </c>
      <c r="D51" s="18">
        <f t="shared" si="45"/>
        <v>50</v>
      </c>
      <c r="E51" s="18">
        <f t="shared" ref="E51:J51" si="55">E39+D51</f>
        <v>64</v>
      </c>
      <c r="F51" s="18">
        <f t="shared" si="55"/>
        <v>71</v>
      </c>
      <c r="G51" s="18">
        <f t="shared" si="55"/>
        <v>74</v>
      </c>
      <c r="H51" s="18">
        <f t="shared" si="55"/>
        <v>86</v>
      </c>
      <c r="I51" s="18">
        <f t="shared" si="55"/>
        <v>106</v>
      </c>
      <c r="J51" s="18">
        <f t="shared" si="55"/>
        <v>111</v>
      </c>
      <c r="K51" s="20">
        <f>K39+J51</f>
        <v>111</v>
      </c>
    </row>
    <row r="52" spans="1:11" ht="15.75" thickBot="1" x14ac:dyDescent="0.3">
      <c r="A52" s="38"/>
    </row>
    <row r="53" spans="1:11" x14ac:dyDescent="0.25">
      <c r="A53" s="137" t="s">
        <v>93</v>
      </c>
      <c r="B53" s="23" t="s">
        <v>94</v>
      </c>
      <c r="C53" s="23">
        <f t="shared" ref="C53:K53" si="56">AVERAGE(C4:C5)</f>
        <v>7.8149999999999995</v>
      </c>
      <c r="D53" s="23">
        <f t="shared" si="56"/>
        <v>6.41</v>
      </c>
      <c r="E53" s="23">
        <f t="shared" si="56"/>
        <v>9.4549999999999983</v>
      </c>
      <c r="F53" s="23">
        <f t="shared" si="56"/>
        <v>9.5250000000000004</v>
      </c>
      <c r="G53" s="23">
        <f t="shared" si="56"/>
        <v>9.73</v>
      </c>
      <c r="H53" s="23">
        <f t="shared" si="56"/>
        <v>9.82</v>
      </c>
      <c r="I53" s="23">
        <f t="shared" si="56"/>
        <v>9.8150000000000013</v>
      </c>
      <c r="J53" s="23">
        <f t="shared" si="56"/>
        <v>9.77</v>
      </c>
      <c r="K53" s="24">
        <f t="shared" si="56"/>
        <v>9.7349999999999994</v>
      </c>
    </row>
    <row r="54" spans="1:11" ht="14.45" customHeight="1" x14ac:dyDescent="0.25">
      <c r="A54" s="138"/>
      <c r="B54" t="s">
        <v>95</v>
      </c>
      <c r="C54">
        <f t="shared" ref="C54:K54" si="57">AVERAGE(C6:C7)</f>
        <v>7.5549999999999997</v>
      </c>
      <c r="D54">
        <f t="shared" si="57"/>
        <v>5.1099999999999994</v>
      </c>
      <c r="E54">
        <f t="shared" si="57"/>
        <v>6.17</v>
      </c>
      <c r="F54">
        <f t="shared" si="57"/>
        <v>6.9399999999999995</v>
      </c>
      <c r="G54">
        <f t="shared" si="57"/>
        <v>7.29</v>
      </c>
      <c r="H54">
        <f t="shared" si="57"/>
        <v>7.17</v>
      </c>
      <c r="I54">
        <f t="shared" si="57"/>
        <v>6.6099999999999994</v>
      </c>
      <c r="J54">
        <f t="shared" si="57"/>
        <v>6.4950000000000001</v>
      </c>
      <c r="K54" s="10">
        <f t="shared" si="57"/>
        <v>6.63</v>
      </c>
    </row>
    <row r="55" spans="1:11" x14ac:dyDescent="0.25">
      <c r="A55" s="138"/>
      <c r="B55" t="s">
        <v>96</v>
      </c>
      <c r="C55">
        <f t="shared" ref="C55:K55" si="58">AVERAGE(C8:C9)</f>
        <v>7.5449999999999999</v>
      </c>
      <c r="D55">
        <f t="shared" si="58"/>
        <v>5.1050000000000004</v>
      </c>
      <c r="E55">
        <f t="shared" si="58"/>
        <v>6.0350000000000001</v>
      </c>
      <c r="F55">
        <f t="shared" si="58"/>
        <v>6.5449999999999999</v>
      </c>
      <c r="G55">
        <f t="shared" si="58"/>
        <v>6.8800000000000008</v>
      </c>
      <c r="H55">
        <f t="shared" si="58"/>
        <v>6.26</v>
      </c>
      <c r="I55">
        <f t="shared" si="58"/>
        <v>5.6549999999999994</v>
      </c>
      <c r="J55">
        <f t="shared" si="58"/>
        <v>6.52</v>
      </c>
      <c r="K55" s="10">
        <f t="shared" si="58"/>
        <v>6.875</v>
      </c>
    </row>
    <row r="56" spans="1:11" x14ac:dyDescent="0.25">
      <c r="A56" s="138"/>
      <c r="B56" t="s">
        <v>97</v>
      </c>
      <c r="C56">
        <f t="shared" ref="C56:K56" si="59">AVERAGE(C10:C11)</f>
        <v>7.7850000000000001</v>
      </c>
      <c r="D56">
        <f t="shared" si="59"/>
        <v>6.4749999999999996</v>
      </c>
      <c r="E56">
        <f t="shared" si="59"/>
        <v>9.4149999999999991</v>
      </c>
      <c r="F56">
        <f t="shared" si="59"/>
        <v>9.5399999999999991</v>
      </c>
      <c r="G56">
        <f t="shared" si="59"/>
        <v>9.6349999999999998</v>
      </c>
      <c r="H56">
        <f t="shared" si="59"/>
        <v>9.85</v>
      </c>
      <c r="I56">
        <f t="shared" si="59"/>
        <v>9.86</v>
      </c>
      <c r="J56">
        <f t="shared" si="59"/>
        <v>9.75</v>
      </c>
      <c r="K56" s="10">
        <f t="shared" si="59"/>
        <v>9.75</v>
      </c>
    </row>
    <row r="57" spans="1:11" x14ac:dyDescent="0.25">
      <c r="A57" s="138"/>
      <c r="B57" t="s">
        <v>98</v>
      </c>
      <c r="C57">
        <f t="shared" ref="C57:K57" si="60">AVERAGE(C12:C13)</f>
        <v>7.5750000000000002</v>
      </c>
      <c r="D57">
        <f t="shared" si="60"/>
        <v>5.2549999999999999</v>
      </c>
      <c r="E57">
        <f t="shared" si="60"/>
        <v>6.09</v>
      </c>
      <c r="F57">
        <f t="shared" si="60"/>
        <v>6.7949999999999999</v>
      </c>
      <c r="G57">
        <f t="shared" si="60"/>
        <v>7.4350000000000005</v>
      </c>
      <c r="H57">
        <f t="shared" si="60"/>
        <v>7.5600000000000005</v>
      </c>
      <c r="I57">
        <f t="shared" si="60"/>
        <v>6.98</v>
      </c>
      <c r="J57">
        <f t="shared" si="60"/>
        <v>6.64</v>
      </c>
      <c r="K57" s="10">
        <f t="shared" si="60"/>
        <v>6.6999999999999993</v>
      </c>
    </row>
    <row r="58" spans="1:11" ht="15.75" thickBot="1" x14ac:dyDescent="0.3">
      <c r="A58" s="139"/>
      <c r="B58" s="18" t="s">
        <v>99</v>
      </c>
      <c r="C58" s="18">
        <f t="shared" ref="C58:K58" si="61">AVERAGE(C14:C15)</f>
        <v>7.5750000000000002</v>
      </c>
      <c r="D58" s="18">
        <f t="shared" si="61"/>
        <v>5.2200000000000006</v>
      </c>
      <c r="E58" s="18">
        <f t="shared" si="61"/>
        <v>6.0950000000000006</v>
      </c>
      <c r="F58" s="18">
        <f t="shared" si="61"/>
        <v>6.5549999999999997</v>
      </c>
      <c r="G58" s="18">
        <f t="shared" si="61"/>
        <v>6.83</v>
      </c>
      <c r="H58" s="18">
        <f t="shared" si="61"/>
        <v>6.25</v>
      </c>
      <c r="I58" s="18">
        <f t="shared" si="61"/>
        <v>5.67</v>
      </c>
      <c r="J58" s="18">
        <f t="shared" si="61"/>
        <v>6.5350000000000001</v>
      </c>
      <c r="K58" s="20">
        <f t="shared" si="61"/>
        <v>6.4950000000000001</v>
      </c>
    </row>
    <row r="59" spans="1:11" x14ac:dyDescent="0.25">
      <c r="A59" s="2"/>
    </row>
    <row r="60" spans="1:11" ht="15.75" thickBot="1" x14ac:dyDescent="0.3">
      <c r="A60" s="38"/>
    </row>
    <row r="61" spans="1:11" x14ac:dyDescent="0.25">
      <c r="A61" s="137" t="s">
        <v>82</v>
      </c>
      <c r="B61" s="23" t="s">
        <v>94</v>
      </c>
      <c r="C61" s="23">
        <f>AVERAGE(C16:C17)</f>
        <v>10.18</v>
      </c>
      <c r="D61" s="23">
        <f t="shared" ref="D61:K61" si="62">AVERAGE(D16:D17)</f>
        <v>10.100000000000001</v>
      </c>
      <c r="E61" s="23">
        <f t="shared" si="62"/>
        <v>10.055</v>
      </c>
      <c r="F61" s="23">
        <f t="shared" si="62"/>
        <v>10.045</v>
      </c>
      <c r="G61" s="23">
        <f t="shared" si="62"/>
        <v>10.004999999999999</v>
      </c>
      <c r="H61" s="23">
        <f t="shared" si="62"/>
        <v>10.06</v>
      </c>
      <c r="I61" s="23">
        <f t="shared" si="62"/>
        <v>10.050000000000001</v>
      </c>
      <c r="J61" s="23">
        <f t="shared" si="62"/>
        <v>10.004999999999999</v>
      </c>
      <c r="K61" s="24">
        <f t="shared" si="62"/>
        <v>9.7349999999999994</v>
      </c>
    </row>
    <row r="62" spans="1:11" x14ac:dyDescent="0.25">
      <c r="A62" s="138"/>
      <c r="B62" t="s">
        <v>95</v>
      </c>
      <c r="C62">
        <f>AVERAGE(C18:C19)</f>
        <v>8.5949999999999989</v>
      </c>
      <c r="D62">
        <f t="shared" ref="D62:K62" si="63">AVERAGE(D18:D19)</f>
        <v>8.5599999999999987</v>
      </c>
      <c r="E62">
        <f t="shared" si="63"/>
        <v>8.5650000000000013</v>
      </c>
      <c r="F62">
        <f t="shared" si="63"/>
        <v>8.51</v>
      </c>
      <c r="G62">
        <f t="shared" si="63"/>
        <v>8.59</v>
      </c>
      <c r="H62">
        <f t="shared" si="63"/>
        <v>8.5599999999999987</v>
      </c>
      <c r="I62">
        <f t="shared" si="63"/>
        <v>8.5599999999999987</v>
      </c>
      <c r="J62">
        <f t="shared" si="63"/>
        <v>8.6</v>
      </c>
      <c r="K62" s="10">
        <f t="shared" si="63"/>
        <v>6.63</v>
      </c>
    </row>
    <row r="63" spans="1:11" x14ac:dyDescent="0.25">
      <c r="A63" s="138"/>
      <c r="B63" t="s">
        <v>96</v>
      </c>
      <c r="C63">
        <f>AVERAGE(C20:C21)</f>
        <v>7.5449999999999999</v>
      </c>
      <c r="D63">
        <f t="shared" ref="D63:K63" si="64">AVERAGE(D20:D21)</f>
        <v>7.3900000000000006</v>
      </c>
      <c r="E63">
        <f t="shared" si="64"/>
        <v>7.1850000000000005</v>
      </c>
      <c r="F63">
        <f t="shared" si="64"/>
        <v>7.085</v>
      </c>
      <c r="G63">
        <f t="shared" si="64"/>
        <v>7.0150000000000006</v>
      </c>
      <c r="H63">
        <f t="shared" si="64"/>
        <v>7.0549999999999997</v>
      </c>
      <c r="I63">
        <f t="shared" si="64"/>
        <v>7.0350000000000001</v>
      </c>
      <c r="J63">
        <f t="shared" si="64"/>
        <v>7.1099999999999994</v>
      </c>
      <c r="K63" s="10">
        <f t="shared" si="64"/>
        <v>6.875</v>
      </c>
    </row>
    <row r="64" spans="1:11" x14ac:dyDescent="0.25">
      <c r="A64" s="138"/>
      <c r="B64" t="s">
        <v>97</v>
      </c>
      <c r="C64">
        <f>AVERAGE(C22:C23)</f>
        <v>10.245000000000001</v>
      </c>
      <c r="D64">
        <f t="shared" ref="D64:K64" si="65">AVERAGE(D22:D23)</f>
        <v>10.145</v>
      </c>
      <c r="E64">
        <f t="shared" si="65"/>
        <v>10.055</v>
      </c>
      <c r="F64">
        <f t="shared" si="65"/>
        <v>10.039999999999999</v>
      </c>
      <c r="G64">
        <f t="shared" si="65"/>
        <v>10.030000000000001</v>
      </c>
      <c r="H64">
        <f t="shared" si="65"/>
        <v>10.120000000000001</v>
      </c>
      <c r="I64">
        <f t="shared" si="65"/>
        <v>10.039999999999999</v>
      </c>
      <c r="J64">
        <f t="shared" si="65"/>
        <v>10.015000000000001</v>
      </c>
      <c r="K64" s="10">
        <f t="shared" si="65"/>
        <v>9.75</v>
      </c>
    </row>
    <row r="65" spans="1:11" x14ac:dyDescent="0.25">
      <c r="A65" s="138"/>
      <c r="B65" t="s">
        <v>98</v>
      </c>
      <c r="C65">
        <f>AVERAGE(C24:C25)</f>
        <v>8.5649999999999995</v>
      </c>
      <c r="D65">
        <f t="shared" ref="D65:K65" si="66">AVERAGE(D24:D25)</f>
        <v>8.5249999999999986</v>
      </c>
      <c r="E65">
        <f t="shared" si="66"/>
        <v>8.5449999999999999</v>
      </c>
      <c r="F65">
        <f t="shared" si="66"/>
        <v>8.6150000000000002</v>
      </c>
      <c r="G65">
        <f t="shared" si="66"/>
        <v>8.57</v>
      </c>
      <c r="H65">
        <f t="shared" si="66"/>
        <v>8.5449999999999999</v>
      </c>
      <c r="I65">
        <f t="shared" si="66"/>
        <v>8.59</v>
      </c>
      <c r="J65">
        <f t="shared" si="66"/>
        <v>8.65</v>
      </c>
      <c r="K65" s="10">
        <f t="shared" si="66"/>
        <v>6.6999999999999993</v>
      </c>
    </row>
    <row r="66" spans="1:11" ht="15.75" thickBot="1" x14ac:dyDescent="0.3">
      <c r="A66" s="139"/>
      <c r="B66" s="18" t="s">
        <v>99</v>
      </c>
      <c r="C66" s="18">
        <f>AVERAGE(C26:C27)</f>
        <v>7.5750000000000002</v>
      </c>
      <c r="D66" s="18">
        <f t="shared" ref="D66:K66" si="67">AVERAGE(D26:D27)</f>
        <v>7.4450000000000003</v>
      </c>
      <c r="E66" s="18">
        <f t="shared" si="67"/>
        <v>7.18</v>
      </c>
      <c r="F66" s="18">
        <f t="shared" si="67"/>
        <v>7.085</v>
      </c>
      <c r="G66" s="18">
        <f t="shared" si="67"/>
        <v>7.08</v>
      </c>
      <c r="H66" s="18">
        <f t="shared" si="67"/>
        <v>7.0950000000000006</v>
      </c>
      <c r="I66" s="18">
        <f t="shared" si="67"/>
        <v>7.4249999999999998</v>
      </c>
      <c r="J66" s="18">
        <f t="shared" si="67"/>
        <v>7.0149999999999997</v>
      </c>
      <c r="K66" s="20">
        <f t="shared" si="67"/>
        <v>6.4950000000000001</v>
      </c>
    </row>
    <row r="67" spans="1:11" x14ac:dyDescent="0.25">
      <c r="A67" s="2"/>
    </row>
    <row r="68" spans="1:11" x14ac:dyDescent="0.25">
      <c r="A68" s="2"/>
    </row>
    <row r="69" spans="1:11" ht="15.75" thickBot="1" x14ac:dyDescent="0.3">
      <c r="A69" s="2"/>
    </row>
    <row r="70" spans="1:11" x14ac:dyDescent="0.25">
      <c r="A70" s="137" t="s">
        <v>92</v>
      </c>
      <c r="B70" s="23" t="s">
        <v>94</v>
      </c>
      <c r="C70" s="23">
        <f t="shared" ref="C70:K70" si="68">AVERAGE(C40:C41)</f>
        <v>23</v>
      </c>
      <c r="D70" s="23">
        <f t="shared" si="68"/>
        <v>98</v>
      </c>
      <c r="E70" s="23">
        <f t="shared" si="68"/>
        <v>117.5</v>
      </c>
      <c r="F70" s="23">
        <f t="shared" si="68"/>
        <v>139</v>
      </c>
      <c r="G70" s="23">
        <f t="shared" si="68"/>
        <v>150.5</v>
      </c>
      <c r="H70" s="23">
        <f t="shared" si="68"/>
        <v>162.5</v>
      </c>
      <c r="I70" s="23">
        <f t="shared" si="68"/>
        <v>172.5</v>
      </c>
      <c r="J70" s="23">
        <f t="shared" si="68"/>
        <v>182.5</v>
      </c>
      <c r="K70" s="24">
        <f t="shared" si="68"/>
        <v>182.5</v>
      </c>
    </row>
    <row r="71" spans="1:11" x14ac:dyDescent="0.25">
      <c r="A71" s="138"/>
      <c r="B71" t="s">
        <v>95</v>
      </c>
      <c r="C71">
        <f t="shared" ref="C71:K71" si="69">AVERAGE(C42:C43)</f>
        <v>4</v>
      </c>
      <c r="D71">
        <f t="shared" si="69"/>
        <v>71.5</v>
      </c>
      <c r="E71">
        <f t="shared" si="69"/>
        <v>99</v>
      </c>
      <c r="F71">
        <f t="shared" si="69"/>
        <v>113</v>
      </c>
      <c r="G71">
        <f t="shared" si="69"/>
        <v>123.5</v>
      </c>
      <c r="H71">
        <f t="shared" si="69"/>
        <v>137</v>
      </c>
      <c r="I71">
        <f t="shared" si="69"/>
        <v>152.5</v>
      </c>
      <c r="J71">
        <f t="shared" si="69"/>
        <v>172.5</v>
      </c>
      <c r="K71" s="10">
        <f t="shared" si="69"/>
        <v>172.5</v>
      </c>
    </row>
    <row r="72" spans="1:11" x14ac:dyDescent="0.25">
      <c r="A72" s="138"/>
      <c r="B72" t="s">
        <v>96</v>
      </c>
      <c r="C72">
        <f t="shared" ref="C72:K72" si="70">AVERAGE(C44:C45)</f>
        <v>0</v>
      </c>
      <c r="D72">
        <f t="shared" si="70"/>
        <v>49</v>
      </c>
      <c r="E72">
        <f t="shared" si="70"/>
        <v>63</v>
      </c>
      <c r="F72">
        <f t="shared" si="70"/>
        <v>70</v>
      </c>
      <c r="G72">
        <f t="shared" si="70"/>
        <v>72</v>
      </c>
      <c r="H72">
        <f t="shared" si="70"/>
        <v>82.5</v>
      </c>
      <c r="I72">
        <f t="shared" si="70"/>
        <v>102.5</v>
      </c>
      <c r="J72">
        <f t="shared" si="70"/>
        <v>108</v>
      </c>
      <c r="K72" s="10">
        <f t="shared" si="70"/>
        <v>108</v>
      </c>
    </row>
    <row r="73" spans="1:11" x14ac:dyDescent="0.25">
      <c r="A73" s="138"/>
      <c r="B73" t="s">
        <v>97</v>
      </c>
      <c r="C73">
        <f t="shared" ref="C73:K73" si="71">AVERAGE(C46:C47)</f>
        <v>23</v>
      </c>
      <c r="D73">
        <f t="shared" si="71"/>
        <v>95.5</v>
      </c>
      <c r="E73">
        <f t="shared" si="71"/>
        <v>112</v>
      </c>
      <c r="F73">
        <f t="shared" si="71"/>
        <v>132</v>
      </c>
      <c r="G73">
        <f t="shared" si="71"/>
        <v>146</v>
      </c>
      <c r="H73">
        <f t="shared" si="71"/>
        <v>157.5</v>
      </c>
      <c r="I73">
        <f t="shared" si="71"/>
        <v>164.5</v>
      </c>
      <c r="J73">
        <f t="shared" si="71"/>
        <v>175.5</v>
      </c>
      <c r="K73" s="10">
        <f t="shared" si="71"/>
        <v>175.5</v>
      </c>
    </row>
    <row r="74" spans="1:11" x14ac:dyDescent="0.25">
      <c r="A74" s="138"/>
      <c r="B74" t="s">
        <v>98</v>
      </c>
      <c r="C74">
        <f t="shared" ref="C74:K74" si="72">AVERAGE(C48:C49)</f>
        <v>4</v>
      </c>
      <c r="D74">
        <f t="shared" si="72"/>
        <v>69</v>
      </c>
      <c r="E74">
        <f t="shared" si="72"/>
        <v>99</v>
      </c>
      <c r="F74">
        <f t="shared" si="72"/>
        <v>116.5</v>
      </c>
      <c r="G74">
        <f t="shared" si="72"/>
        <v>125</v>
      </c>
      <c r="H74">
        <f t="shared" si="72"/>
        <v>133.5</v>
      </c>
      <c r="I74">
        <f t="shared" si="72"/>
        <v>145</v>
      </c>
      <c r="J74">
        <f t="shared" si="72"/>
        <v>166</v>
      </c>
      <c r="K74" s="10">
        <f t="shared" si="72"/>
        <v>166</v>
      </c>
    </row>
    <row r="75" spans="1:11" ht="15.75" thickBot="1" x14ac:dyDescent="0.3">
      <c r="A75" s="139"/>
      <c r="B75" s="18" t="s">
        <v>99</v>
      </c>
      <c r="C75" s="18">
        <f t="shared" ref="C75:K75" si="73">AVERAGE(C50:C51)</f>
        <v>0</v>
      </c>
      <c r="D75" s="18">
        <f t="shared" si="73"/>
        <v>50</v>
      </c>
      <c r="E75" s="18">
        <f t="shared" si="73"/>
        <v>63</v>
      </c>
      <c r="F75" s="18">
        <f t="shared" si="73"/>
        <v>70</v>
      </c>
      <c r="G75" s="18">
        <f t="shared" si="73"/>
        <v>72.5</v>
      </c>
      <c r="H75" s="18">
        <f t="shared" si="73"/>
        <v>83.5</v>
      </c>
      <c r="I75" s="18">
        <f t="shared" si="73"/>
        <v>106</v>
      </c>
      <c r="J75" s="18">
        <f t="shared" si="73"/>
        <v>111</v>
      </c>
      <c r="K75" s="20">
        <f t="shared" si="73"/>
        <v>111</v>
      </c>
    </row>
  </sheetData>
  <mergeCells count="7">
    <mergeCell ref="A70:A75"/>
    <mergeCell ref="A16:A27"/>
    <mergeCell ref="A4:A15"/>
    <mergeCell ref="A53:A58"/>
    <mergeCell ref="A61:A66"/>
    <mergeCell ref="A40:A51"/>
    <mergeCell ref="A28:A39"/>
  </mergeCells>
  <pageMargins left="0.7" right="0.7" top="0.75" bottom="0.75" header="0.3" footer="0.3"/>
  <headerFooter>
    <oddHeader>&amp;R&amp;"Calibri"&amp;10&amp;K000000 PUBLIC / CYHOEDDUS&amp;1#_x000D_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99409-C1E5-4D97-991D-6F9F3A161D23}">
  <dimension ref="A1:J44"/>
  <sheetViews>
    <sheetView workbookViewId="0">
      <selection activeCell="E37" sqref="E37"/>
    </sheetView>
  </sheetViews>
  <sheetFormatPr defaultRowHeight="15" x14ac:dyDescent="0.25"/>
  <cols>
    <col min="1" max="1" width="14" customWidth="1"/>
  </cols>
  <sheetData>
    <row r="1" spans="1:10" ht="16.899999999999999" customHeight="1" thickBot="1" x14ac:dyDescent="0.35">
      <c r="A1" s="143" t="s">
        <v>100</v>
      </c>
      <c r="B1" s="143"/>
      <c r="C1" s="143"/>
      <c r="D1" s="143"/>
    </row>
    <row r="2" spans="1:10" ht="13.9" customHeight="1" x14ac:dyDescent="0.25">
      <c r="A2" s="27" t="s">
        <v>101</v>
      </c>
      <c r="B2" s="23">
        <v>0</v>
      </c>
      <c r="C2" s="23">
        <v>1</v>
      </c>
      <c r="D2" s="23">
        <v>2</v>
      </c>
      <c r="E2" s="23">
        <v>3</v>
      </c>
      <c r="F2" s="23">
        <v>4</v>
      </c>
      <c r="G2" s="23">
        <v>5</v>
      </c>
      <c r="H2" s="23">
        <v>6</v>
      </c>
      <c r="I2" s="23">
        <v>7</v>
      </c>
      <c r="J2" s="24">
        <v>8</v>
      </c>
    </row>
    <row r="3" spans="1:10" x14ac:dyDescent="0.25">
      <c r="A3" s="28" t="s">
        <v>57</v>
      </c>
      <c r="B3">
        <v>242.46</v>
      </c>
      <c r="C3">
        <v>242.4</v>
      </c>
      <c r="D3">
        <v>243.59</v>
      </c>
      <c r="E3">
        <v>212.42</v>
      </c>
      <c r="F3">
        <v>211.6</v>
      </c>
      <c r="G3">
        <v>185.12</v>
      </c>
      <c r="H3">
        <v>184.5</v>
      </c>
      <c r="I3">
        <v>155.74</v>
      </c>
      <c r="J3" s="10">
        <v>155.56</v>
      </c>
    </row>
    <row r="4" spans="1:10" x14ac:dyDescent="0.25">
      <c r="A4" s="28" t="s">
        <v>58</v>
      </c>
      <c r="B4">
        <v>242.99</v>
      </c>
      <c r="C4">
        <v>242.94</v>
      </c>
      <c r="D4">
        <v>244.9</v>
      </c>
      <c r="E4">
        <v>218.72</v>
      </c>
      <c r="F4">
        <v>218.98</v>
      </c>
      <c r="G4">
        <v>188.65</v>
      </c>
      <c r="H4">
        <v>188.56</v>
      </c>
      <c r="I4">
        <v>163.94</v>
      </c>
      <c r="J4" s="10">
        <v>163.47</v>
      </c>
    </row>
    <row r="5" spans="1:10" x14ac:dyDescent="0.25">
      <c r="A5" s="28" t="s">
        <v>60</v>
      </c>
      <c r="B5">
        <v>241.82</v>
      </c>
      <c r="C5">
        <v>240.97</v>
      </c>
      <c r="D5">
        <v>241.38</v>
      </c>
      <c r="E5">
        <v>214.86</v>
      </c>
      <c r="F5">
        <v>214.59</v>
      </c>
      <c r="G5">
        <v>186.68</v>
      </c>
      <c r="H5">
        <v>186.47</v>
      </c>
      <c r="I5">
        <v>159.66</v>
      </c>
      <c r="J5" s="10">
        <v>159.59</v>
      </c>
    </row>
    <row r="6" spans="1:10" x14ac:dyDescent="0.25">
      <c r="A6" s="28" t="s">
        <v>61</v>
      </c>
      <c r="B6">
        <v>241.78</v>
      </c>
      <c r="C6">
        <v>241.39</v>
      </c>
      <c r="D6">
        <v>242.99</v>
      </c>
      <c r="E6">
        <v>217.48</v>
      </c>
      <c r="F6">
        <v>217.04</v>
      </c>
      <c r="G6">
        <v>190.53</v>
      </c>
      <c r="H6">
        <v>190.34</v>
      </c>
      <c r="I6">
        <v>163.93</v>
      </c>
      <c r="J6" s="10">
        <v>164.12</v>
      </c>
    </row>
    <row r="7" spans="1:10" x14ac:dyDescent="0.25">
      <c r="A7" s="28" t="s">
        <v>63</v>
      </c>
      <c r="B7">
        <v>242.19</v>
      </c>
      <c r="C7">
        <v>241.98</v>
      </c>
      <c r="D7">
        <v>242.38</v>
      </c>
      <c r="E7">
        <v>216.2</v>
      </c>
      <c r="F7">
        <v>215.4</v>
      </c>
      <c r="G7">
        <v>187.44</v>
      </c>
      <c r="H7">
        <v>186.19</v>
      </c>
      <c r="I7">
        <v>159.49</v>
      </c>
      <c r="J7" s="10">
        <v>159.03</v>
      </c>
    </row>
    <row r="8" spans="1:10" x14ac:dyDescent="0.25">
      <c r="A8" s="28" t="s">
        <v>64</v>
      </c>
      <c r="B8">
        <v>241.05</v>
      </c>
      <c r="C8">
        <v>240.82</v>
      </c>
      <c r="D8">
        <v>241.65</v>
      </c>
      <c r="E8">
        <v>214.79</v>
      </c>
      <c r="F8">
        <v>214.27</v>
      </c>
      <c r="G8">
        <v>187.88</v>
      </c>
      <c r="H8">
        <v>187.15</v>
      </c>
      <c r="I8">
        <v>161.41999999999999</v>
      </c>
      <c r="J8" s="10">
        <v>161.1</v>
      </c>
    </row>
    <row r="9" spans="1:10" x14ac:dyDescent="0.25">
      <c r="A9" s="28" t="s">
        <v>66</v>
      </c>
      <c r="B9">
        <v>244.7</v>
      </c>
      <c r="C9">
        <v>244.66</v>
      </c>
      <c r="D9">
        <v>246.96</v>
      </c>
      <c r="E9">
        <v>216.47</v>
      </c>
      <c r="F9">
        <v>216.46</v>
      </c>
      <c r="G9">
        <v>185.88</v>
      </c>
      <c r="H9">
        <v>185.73</v>
      </c>
      <c r="I9">
        <v>157.52000000000001</v>
      </c>
      <c r="J9" s="10">
        <v>156.37</v>
      </c>
    </row>
    <row r="10" spans="1:10" x14ac:dyDescent="0.25">
      <c r="A10" s="28" t="s">
        <v>67</v>
      </c>
      <c r="B10">
        <v>244.75</v>
      </c>
      <c r="C10">
        <v>244.71</v>
      </c>
      <c r="D10">
        <v>246.64</v>
      </c>
      <c r="E10">
        <v>218.85</v>
      </c>
      <c r="F10">
        <v>218.95</v>
      </c>
      <c r="G10">
        <v>191.44</v>
      </c>
      <c r="H10">
        <v>191.23</v>
      </c>
      <c r="I10">
        <v>162.88</v>
      </c>
      <c r="J10" s="10">
        <v>161.81</v>
      </c>
    </row>
    <row r="11" spans="1:10" x14ac:dyDescent="0.25">
      <c r="A11" s="28" t="s">
        <v>69</v>
      </c>
      <c r="B11">
        <v>243.56</v>
      </c>
      <c r="C11">
        <v>242.78</v>
      </c>
      <c r="D11">
        <v>243.52</v>
      </c>
      <c r="E11">
        <v>216.42</v>
      </c>
      <c r="F11">
        <v>216.18</v>
      </c>
      <c r="G11">
        <v>188.62</v>
      </c>
      <c r="H11">
        <v>188.31</v>
      </c>
      <c r="I11">
        <v>159.24</v>
      </c>
      <c r="J11" s="10">
        <v>159.28</v>
      </c>
    </row>
    <row r="12" spans="1:10" x14ac:dyDescent="0.25">
      <c r="A12" s="28" t="s">
        <v>70</v>
      </c>
      <c r="B12">
        <v>244.19</v>
      </c>
      <c r="C12">
        <v>243.99</v>
      </c>
      <c r="D12">
        <v>245.78</v>
      </c>
      <c r="E12">
        <v>218.76</v>
      </c>
      <c r="F12">
        <v>218.7</v>
      </c>
      <c r="G12">
        <v>191.55</v>
      </c>
      <c r="H12">
        <v>191.39</v>
      </c>
      <c r="I12">
        <v>165.36</v>
      </c>
      <c r="J12" s="10">
        <v>165.46</v>
      </c>
    </row>
    <row r="13" spans="1:10" x14ac:dyDescent="0.25">
      <c r="A13" s="28" t="s">
        <v>72</v>
      </c>
      <c r="B13">
        <v>243.66</v>
      </c>
      <c r="C13">
        <v>243.39</v>
      </c>
      <c r="D13">
        <v>243.83</v>
      </c>
      <c r="E13">
        <v>215.37</v>
      </c>
      <c r="F13">
        <v>214.61</v>
      </c>
      <c r="G13">
        <v>188.41</v>
      </c>
      <c r="H13">
        <v>187.92</v>
      </c>
      <c r="I13">
        <v>162.41</v>
      </c>
      <c r="J13" s="10">
        <v>161.94</v>
      </c>
    </row>
    <row r="14" spans="1:10" ht="15.75" thickBot="1" x14ac:dyDescent="0.3">
      <c r="A14" s="29" t="s">
        <v>73</v>
      </c>
      <c r="B14" s="18">
        <v>243.08</v>
      </c>
      <c r="C14" s="18">
        <v>242.92</v>
      </c>
      <c r="D14" s="18">
        <v>243.3</v>
      </c>
      <c r="E14" s="18">
        <v>216.09</v>
      </c>
      <c r="F14" s="18">
        <v>215.42</v>
      </c>
      <c r="G14" s="18">
        <v>187.12</v>
      </c>
      <c r="H14" s="18">
        <v>186.63</v>
      </c>
      <c r="I14" s="18">
        <v>158.99</v>
      </c>
      <c r="J14" s="20">
        <v>158.41999999999999</v>
      </c>
    </row>
    <row r="16" spans="1:10" ht="19.5" thickBot="1" x14ac:dyDescent="0.35">
      <c r="A16" s="143" t="s">
        <v>102</v>
      </c>
      <c r="B16" s="143"/>
      <c r="C16" s="143"/>
      <c r="D16" s="143"/>
    </row>
    <row r="17" spans="1:10" x14ac:dyDescent="0.25">
      <c r="A17" s="27" t="s">
        <v>101</v>
      </c>
      <c r="B17" s="23">
        <v>0</v>
      </c>
      <c r="C17" s="23">
        <v>1</v>
      </c>
      <c r="D17" s="23">
        <v>2</v>
      </c>
      <c r="E17" s="23">
        <v>3</v>
      </c>
      <c r="F17" s="23">
        <v>4</v>
      </c>
      <c r="G17" s="23">
        <v>5</v>
      </c>
      <c r="H17" s="23">
        <v>6</v>
      </c>
      <c r="I17" s="23">
        <v>7</v>
      </c>
      <c r="J17" s="24">
        <v>8</v>
      </c>
    </row>
    <row r="18" spans="1:10" x14ac:dyDescent="0.25">
      <c r="A18" s="28" t="s">
        <v>57</v>
      </c>
      <c r="D18">
        <v>212.69</v>
      </c>
      <c r="F18">
        <v>185.45</v>
      </c>
      <c r="H18">
        <v>156.38</v>
      </c>
      <c r="J18" s="10"/>
    </row>
    <row r="19" spans="1:10" x14ac:dyDescent="0.25">
      <c r="A19" s="28" t="s">
        <v>58</v>
      </c>
      <c r="D19">
        <v>218.6</v>
      </c>
      <c r="F19">
        <v>188.59</v>
      </c>
      <c r="H19">
        <v>163.96</v>
      </c>
      <c r="J19" s="10"/>
    </row>
    <row r="20" spans="1:10" x14ac:dyDescent="0.25">
      <c r="A20" s="28" t="s">
        <v>60</v>
      </c>
      <c r="D20">
        <v>214.47</v>
      </c>
      <c r="F20">
        <v>187.27</v>
      </c>
      <c r="H20">
        <v>160.22999999999999</v>
      </c>
      <c r="J20" s="10"/>
    </row>
    <row r="21" spans="1:10" x14ac:dyDescent="0.25">
      <c r="A21" s="28" t="s">
        <v>61</v>
      </c>
      <c r="D21">
        <v>217.04</v>
      </c>
      <c r="F21">
        <v>190.57</v>
      </c>
      <c r="H21">
        <v>164.01</v>
      </c>
      <c r="J21" s="10"/>
    </row>
    <row r="22" spans="1:10" x14ac:dyDescent="0.25">
      <c r="A22" s="28" t="s">
        <v>63</v>
      </c>
      <c r="D22">
        <v>216.6</v>
      </c>
      <c r="F22">
        <v>187.9</v>
      </c>
      <c r="H22">
        <v>160</v>
      </c>
      <c r="J22" s="10"/>
    </row>
    <row r="23" spans="1:10" x14ac:dyDescent="0.25">
      <c r="A23" s="28" t="s">
        <v>64</v>
      </c>
      <c r="D23">
        <v>215.05</v>
      </c>
      <c r="F23">
        <v>188.11</v>
      </c>
      <c r="H23">
        <v>161.54</v>
      </c>
      <c r="J23" s="10"/>
    </row>
    <row r="24" spans="1:10" x14ac:dyDescent="0.25">
      <c r="A24" s="28" t="s">
        <v>66</v>
      </c>
      <c r="D24">
        <v>216.14</v>
      </c>
      <c r="F24">
        <v>186.07</v>
      </c>
      <c r="H24">
        <v>158.27000000000001</v>
      </c>
      <c r="J24" s="10"/>
    </row>
    <row r="25" spans="1:10" x14ac:dyDescent="0.25">
      <c r="A25" s="28" t="s">
        <v>67</v>
      </c>
      <c r="D25">
        <v>218.43</v>
      </c>
      <c r="F25">
        <v>191.3</v>
      </c>
      <c r="H25">
        <v>163.53</v>
      </c>
      <c r="J25" s="10"/>
    </row>
    <row r="26" spans="1:10" x14ac:dyDescent="0.25">
      <c r="A26" s="28" t="s">
        <v>69</v>
      </c>
      <c r="D26">
        <v>215.9</v>
      </c>
      <c r="F26">
        <v>188.55</v>
      </c>
      <c r="H26">
        <v>159.76</v>
      </c>
      <c r="J26" s="10"/>
    </row>
    <row r="27" spans="1:10" x14ac:dyDescent="0.25">
      <c r="A27" s="28" t="s">
        <v>70</v>
      </c>
      <c r="D27">
        <v>218.35</v>
      </c>
      <c r="F27">
        <v>192.07</v>
      </c>
      <c r="H27">
        <v>165.6</v>
      </c>
      <c r="J27" s="10"/>
    </row>
    <row r="28" spans="1:10" x14ac:dyDescent="0.25">
      <c r="A28" s="28" t="s">
        <v>72</v>
      </c>
      <c r="D28">
        <v>216.3</v>
      </c>
      <c r="F28">
        <v>187.23</v>
      </c>
      <c r="H28">
        <v>162.78</v>
      </c>
      <c r="J28" s="10"/>
    </row>
    <row r="29" spans="1:10" ht="15.75" thickBot="1" x14ac:dyDescent="0.3">
      <c r="A29" s="29" t="s">
        <v>73</v>
      </c>
      <c r="B29" s="18"/>
      <c r="C29" s="18"/>
      <c r="D29" s="18">
        <v>216.72</v>
      </c>
      <c r="E29" s="18"/>
      <c r="F29" s="18">
        <v>188.08</v>
      </c>
      <c r="G29" s="18"/>
      <c r="H29" s="18">
        <v>158.94</v>
      </c>
      <c r="I29" s="18"/>
      <c r="J29" s="20"/>
    </row>
    <row r="31" spans="1:10" ht="18.75" x14ac:dyDescent="0.3">
      <c r="A31" s="83"/>
      <c r="B31" s="83"/>
      <c r="C31" s="83"/>
      <c r="D31" s="83"/>
    </row>
    <row r="32" spans="1:10" x14ac:dyDescent="0.25">
      <c r="A32" s="80"/>
      <c r="B32" s="81"/>
      <c r="C32" s="81"/>
      <c r="D32" s="81"/>
      <c r="E32" s="81"/>
      <c r="F32" s="81"/>
      <c r="G32" s="81"/>
      <c r="H32" s="81"/>
      <c r="I32" s="81"/>
      <c r="J32" s="81"/>
    </row>
    <row r="33" spans="1:10" x14ac:dyDescent="0.25">
      <c r="A33" s="82"/>
      <c r="B33" s="81"/>
      <c r="C33" s="81"/>
      <c r="D33" s="81"/>
      <c r="E33" s="81"/>
      <c r="F33" s="81"/>
      <c r="G33" s="81"/>
      <c r="H33" s="81"/>
      <c r="I33" s="81"/>
      <c r="J33" s="81"/>
    </row>
    <row r="34" spans="1:10" x14ac:dyDescent="0.25">
      <c r="A34" s="82"/>
      <c r="B34" s="81"/>
      <c r="C34" s="81"/>
      <c r="D34" s="81"/>
      <c r="E34" s="81"/>
      <c r="F34" s="81"/>
      <c r="G34" s="81"/>
      <c r="H34" s="81"/>
      <c r="I34" s="81"/>
      <c r="J34" s="81"/>
    </row>
    <row r="35" spans="1:10" x14ac:dyDescent="0.25">
      <c r="A35" s="82"/>
      <c r="B35" s="81"/>
      <c r="C35" s="81"/>
      <c r="D35" s="81"/>
      <c r="E35" s="81"/>
      <c r="F35" s="81"/>
      <c r="G35" s="81"/>
      <c r="H35" s="81"/>
      <c r="I35" s="81"/>
      <c r="J35" s="81"/>
    </row>
    <row r="36" spans="1:10" x14ac:dyDescent="0.25">
      <c r="A36" s="82"/>
      <c r="B36" s="81"/>
      <c r="C36" s="81"/>
      <c r="D36" s="81"/>
      <c r="E36" s="81"/>
      <c r="F36" s="81"/>
      <c r="G36" s="81"/>
      <c r="H36" s="81"/>
      <c r="I36" s="81"/>
      <c r="J36" s="81"/>
    </row>
    <row r="37" spans="1:10" x14ac:dyDescent="0.25">
      <c r="A37" s="82"/>
      <c r="B37" s="81"/>
      <c r="C37" s="81"/>
      <c r="D37" s="81"/>
      <c r="E37" s="81"/>
      <c r="F37" s="81"/>
      <c r="G37" s="81"/>
      <c r="H37" s="81"/>
      <c r="I37" s="81"/>
      <c r="J37" s="81"/>
    </row>
    <row r="38" spans="1:10" x14ac:dyDescent="0.25">
      <c r="A38" s="82"/>
      <c r="B38" s="81"/>
      <c r="C38" s="81"/>
      <c r="D38" s="81"/>
      <c r="E38" s="81"/>
      <c r="F38" s="81"/>
      <c r="G38" s="81"/>
      <c r="H38" s="81"/>
      <c r="I38" s="81"/>
      <c r="J38" s="81"/>
    </row>
    <row r="39" spans="1:10" x14ac:dyDescent="0.25">
      <c r="A39" s="82"/>
      <c r="B39" s="81"/>
      <c r="C39" s="81"/>
      <c r="D39" s="81"/>
      <c r="E39" s="81"/>
      <c r="F39" s="81"/>
      <c r="G39" s="81"/>
      <c r="H39" s="81"/>
      <c r="I39" s="81"/>
      <c r="J39" s="81"/>
    </row>
    <row r="40" spans="1:10" x14ac:dyDescent="0.25">
      <c r="A40" s="82"/>
      <c r="B40" s="81"/>
      <c r="C40" s="81"/>
      <c r="D40" s="81"/>
      <c r="E40" s="81"/>
      <c r="F40" s="81"/>
      <c r="G40" s="81"/>
      <c r="H40" s="81"/>
      <c r="I40" s="81"/>
      <c r="J40" s="81"/>
    </row>
    <row r="41" spans="1:10" x14ac:dyDescent="0.25">
      <c r="A41" s="82"/>
      <c r="B41" s="81"/>
      <c r="C41" s="81"/>
      <c r="D41" s="81"/>
      <c r="E41" s="81"/>
      <c r="F41" s="81"/>
      <c r="G41" s="81"/>
      <c r="H41" s="81"/>
      <c r="I41" s="81"/>
      <c r="J41" s="81"/>
    </row>
    <row r="42" spans="1:10" x14ac:dyDescent="0.25">
      <c r="A42" s="82"/>
      <c r="B42" s="81"/>
      <c r="C42" s="81"/>
      <c r="D42" s="81"/>
      <c r="E42" s="81"/>
      <c r="F42" s="81"/>
      <c r="G42" s="81"/>
      <c r="H42" s="81"/>
      <c r="I42" s="81"/>
      <c r="J42" s="81"/>
    </row>
    <row r="43" spans="1:10" x14ac:dyDescent="0.25">
      <c r="A43" s="82"/>
      <c r="B43" s="81"/>
      <c r="C43" s="81"/>
      <c r="D43" s="81"/>
      <c r="E43" s="81"/>
      <c r="F43" s="81"/>
      <c r="G43" s="81"/>
      <c r="H43" s="81"/>
      <c r="I43" s="81"/>
      <c r="J43" s="81"/>
    </row>
    <row r="44" spans="1:10" x14ac:dyDescent="0.25">
      <c r="A44" s="82"/>
      <c r="B44" s="81"/>
      <c r="C44" s="81"/>
      <c r="D44" s="81"/>
      <c r="E44" s="81"/>
      <c r="F44" s="81"/>
      <c r="G44" s="81"/>
      <c r="H44" s="81"/>
      <c r="I44" s="81"/>
      <c r="J44" s="81"/>
    </row>
  </sheetData>
  <mergeCells count="2">
    <mergeCell ref="A1:D1"/>
    <mergeCell ref="A16:D16"/>
  </mergeCells>
  <pageMargins left="0.7" right="0.7" top="0.75" bottom="0.75" header="0.3" footer="0.3"/>
  <pageSetup paperSize="9" orientation="portrait" r:id="rId1"/>
  <headerFooter>
    <oddHeader>&amp;R&amp;"Calibri"&amp;10&amp;K000000 PUBLIC / CYHOEDDUS&amp;1#_x000D_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8E9CB-6CED-4607-9143-AE9F471FA56A}">
  <dimension ref="A1:U116"/>
  <sheetViews>
    <sheetView zoomScale="120" zoomScaleNormal="120" workbookViewId="0">
      <selection activeCell="G4" sqref="G4"/>
    </sheetView>
  </sheetViews>
  <sheetFormatPr defaultRowHeight="15" x14ac:dyDescent="0.25"/>
  <cols>
    <col min="1" max="1" width="18.28515625" customWidth="1"/>
    <col min="5" max="5" width="10.28515625" customWidth="1"/>
    <col min="6" max="6" width="8.7109375" customWidth="1"/>
    <col min="7" max="7" width="13.85546875" customWidth="1"/>
    <col min="13" max="13" width="14.7109375" customWidth="1"/>
  </cols>
  <sheetData>
    <row r="1" spans="1:21" x14ac:dyDescent="0.25">
      <c r="A1" s="2" t="s">
        <v>103</v>
      </c>
      <c r="B1" s="30" t="s">
        <v>104</v>
      </c>
      <c r="C1" s="31" t="s">
        <v>105</v>
      </c>
      <c r="D1" s="31" t="s">
        <v>106</v>
      </c>
      <c r="E1" s="32" t="s">
        <v>99</v>
      </c>
      <c r="F1" s="2"/>
    </row>
    <row r="2" spans="1:21" x14ac:dyDescent="0.25">
      <c r="B2" s="8">
        <v>15.96</v>
      </c>
      <c r="C2">
        <f>0.125/13.25*200/B2</f>
        <v>0.11822007849813211</v>
      </c>
      <c r="D2">
        <f>C2*2</f>
        <v>0.23644015699626422</v>
      </c>
      <c r="E2" s="35">
        <f>D2/0.25</f>
        <v>0.94576062798505689</v>
      </c>
      <c r="F2" s="37"/>
    </row>
    <row r="3" spans="1:21" x14ac:dyDescent="0.25">
      <c r="B3" s="8">
        <v>15.1</v>
      </c>
      <c r="C3">
        <f t="shared" ref="C3:C4" si="0">0.125/13.25*200/B3</f>
        <v>0.12495314257153568</v>
      </c>
      <c r="D3">
        <f t="shared" ref="D3:D4" si="1">C3*2</f>
        <v>0.24990628514307137</v>
      </c>
      <c r="E3" s="35">
        <f t="shared" ref="E3:E4" si="2">D3/0.25</f>
        <v>0.99962514057228546</v>
      </c>
      <c r="F3" s="37"/>
    </row>
    <row r="4" spans="1:21" ht="15.75" thickBot="1" x14ac:dyDescent="0.3">
      <c r="B4" s="16">
        <v>15.46</v>
      </c>
      <c r="C4" s="18">
        <f t="shared" si="0"/>
        <v>0.12204349630208206</v>
      </c>
      <c r="D4" s="18">
        <f t="shared" si="1"/>
        <v>0.24408699260416411</v>
      </c>
      <c r="E4" s="36">
        <f t="shared" si="2"/>
        <v>0.97634797041665644</v>
      </c>
      <c r="F4" s="37"/>
    </row>
    <row r="5" spans="1:21" ht="15.75" thickBot="1" x14ac:dyDescent="0.3">
      <c r="D5" s="2" t="s">
        <v>39</v>
      </c>
      <c r="E5" s="37">
        <f>AVERAGE(E2:E4)</f>
        <v>0.9739112463246663</v>
      </c>
      <c r="F5" s="37"/>
    </row>
    <row r="6" spans="1:21" ht="15.75" thickBot="1" x14ac:dyDescent="0.3">
      <c r="A6" t="s">
        <v>107</v>
      </c>
      <c r="N6" s="150" t="s">
        <v>39</v>
      </c>
      <c r="O6" s="151"/>
      <c r="P6" s="151"/>
      <c r="Q6" s="152"/>
      <c r="R6" s="150" t="s">
        <v>221</v>
      </c>
      <c r="S6" s="151"/>
      <c r="T6" s="151"/>
      <c r="U6" s="152"/>
    </row>
    <row r="7" spans="1:21" x14ac:dyDescent="0.25">
      <c r="A7" s="30" t="s">
        <v>109</v>
      </c>
      <c r="B7" s="31" t="s">
        <v>110</v>
      </c>
      <c r="C7" s="31" t="s">
        <v>111</v>
      </c>
      <c r="D7" s="31" t="s">
        <v>112</v>
      </c>
      <c r="E7" s="31" t="s">
        <v>113</v>
      </c>
      <c r="F7" s="31" t="s">
        <v>114</v>
      </c>
      <c r="G7" s="31" t="s">
        <v>115</v>
      </c>
      <c r="H7" s="31" t="s">
        <v>116</v>
      </c>
      <c r="I7" s="31" t="s">
        <v>117</v>
      </c>
      <c r="J7" s="31" t="s">
        <v>118</v>
      </c>
      <c r="K7" s="31" t="s">
        <v>119</v>
      </c>
      <c r="L7" s="31" t="s">
        <v>120</v>
      </c>
      <c r="M7" s="31" t="s">
        <v>121</v>
      </c>
      <c r="N7" s="30" t="s">
        <v>118</v>
      </c>
      <c r="O7" s="31" t="s">
        <v>119</v>
      </c>
      <c r="P7" s="31" t="s">
        <v>120</v>
      </c>
      <c r="Q7" s="32" t="s">
        <v>121</v>
      </c>
      <c r="R7" s="30" t="s">
        <v>118</v>
      </c>
      <c r="S7" s="31" t="s">
        <v>119</v>
      </c>
      <c r="T7" s="31" t="s">
        <v>120</v>
      </c>
      <c r="U7" s="32" t="s">
        <v>121</v>
      </c>
    </row>
    <row r="8" spans="1:21" x14ac:dyDescent="0.25">
      <c r="A8" s="33" t="s">
        <v>57</v>
      </c>
      <c r="B8">
        <v>0.25</v>
      </c>
      <c r="C8">
        <f>$E$5</f>
        <v>0.9739112463246663</v>
      </c>
      <c r="D8">
        <v>40</v>
      </c>
      <c r="E8">
        <v>10</v>
      </c>
      <c r="F8">
        <v>9.4</v>
      </c>
      <c r="G8">
        <v>1.9</v>
      </c>
      <c r="H8">
        <v>2.2999999999999998</v>
      </c>
      <c r="I8">
        <v>0.28000000000000003</v>
      </c>
      <c r="J8">
        <f>(G8+H8+I8)*B8*C8*50000*E8/D8</f>
        <v>13634.757448545326</v>
      </c>
      <c r="K8">
        <f>G8*B8*C8*E8*50000/D8</f>
        <v>5782.5980250527055</v>
      </c>
      <c r="L8">
        <f>H8*B8*C8*E8*50000/D8</f>
        <v>6999.987082958537</v>
      </c>
      <c r="M8">
        <f>L8/K8</f>
        <v>1.2105263157894735</v>
      </c>
      <c r="N8" s="144">
        <f>AVERAGE(J8:J9)</f>
        <v>13771.713717559735</v>
      </c>
      <c r="O8" s="146">
        <f>AVERAGE(K8:K9)</f>
        <v>6528.2488230200288</v>
      </c>
      <c r="P8" s="146">
        <f t="shared" ref="P8" si="3">AVERAGE(L8:L9)</f>
        <v>6269.5536482150383</v>
      </c>
      <c r="Q8" s="148">
        <f t="shared" ref="Q8" si="4">AVERAGE(M8:M9)</f>
        <v>0.98601629597005058</v>
      </c>
      <c r="R8" s="144">
        <f>_xlfn.STDEV.P(J8:J9)</f>
        <v>136.95626901440846</v>
      </c>
      <c r="S8" s="146">
        <f t="shared" ref="S8" si="5">_xlfn.STDEV.P(K8:K9)</f>
        <v>745.65079796731618</v>
      </c>
      <c r="T8" s="146">
        <f t="shared" ref="T8" si="6">_xlfn.STDEV.P(L8:L9)</f>
        <v>730.43343474350399</v>
      </c>
      <c r="U8" s="148">
        <f t="shared" ref="U8" si="7">_xlfn.STDEV.P(M8:M9)</f>
        <v>0.22451001981942295</v>
      </c>
    </row>
    <row r="9" spans="1:21" x14ac:dyDescent="0.25">
      <c r="A9" s="33" t="s">
        <v>58</v>
      </c>
      <c r="B9">
        <v>0.25</v>
      </c>
      <c r="C9">
        <f t="shared" ref="C9:C19" si="8">$E$5</f>
        <v>0.9739112463246663</v>
      </c>
      <c r="D9">
        <v>40</v>
      </c>
      <c r="E9">
        <v>10</v>
      </c>
      <c r="F9">
        <v>9.3000000000000007</v>
      </c>
      <c r="G9">
        <v>2.39</v>
      </c>
      <c r="H9">
        <v>1.82</v>
      </c>
      <c r="I9">
        <v>0.36</v>
      </c>
      <c r="J9">
        <f>(G9+H9+I9)*B9*C9*50000*E9/D9</f>
        <v>13908.669986574143</v>
      </c>
      <c r="K9">
        <f t="shared" ref="K9:K19" si="9">G9*B9*C9*E9*50000/D9</f>
        <v>7273.8996209873512</v>
      </c>
      <c r="L9">
        <f t="shared" ref="L9:L19" si="10">H9*B9*C9*E9*50000/D9</f>
        <v>5539.1202134715404</v>
      </c>
      <c r="M9">
        <f t="shared" ref="M9:M19" si="11">L9/K9</f>
        <v>0.76150627615062771</v>
      </c>
      <c r="N9" s="144"/>
      <c r="O9" s="146"/>
      <c r="P9" s="146"/>
      <c r="Q9" s="148"/>
      <c r="R9" s="144"/>
      <c r="S9" s="146"/>
      <c r="T9" s="146"/>
      <c r="U9" s="148"/>
    </row>
    <row r="10" spans="1:21" x14ac:dyDescent="0.25">
      <c r="A10" s="33" t="s">
        <v>60</v>
      </c>
      <c r="B10">
        <v>0.25</v>
      </c>
      <c r="C10">
        <f t="shared" si="8"/>
        <v>0.9739112463246663</v>
      </c>
      <c r="D10">
        <v>40</v>
      </c>
      <c r="E10">
        <v>10</v>
      </c>
      <c r="F10">
        <v>6.5</v>
      </c>
      <c r="G10">
        <v>0.59</v>
      </c>
      <c r="H10">
        <v>2.19</v>
      </c>
      <c r="I10">
        <v>0.32</v>
      </c>
      <c r="J10">
        <f t="shared" ref="J10:J19" si="12">(G10+H10+I10)*B10*C10*50000*E10/D10</f>
        <v>9434.7651987702029</v>
      </c>
      <c r="K10">
        <f t="shared" si="9"/>
        <v>1795.6488604111032</v>
      </c>
      <c r="L10">
        <f t="shared" si="10"/>
        <v>6665.2050920344336</v>
      </c>
      <c r="M10">
        <f t="shared" si="11"/>
        <v>3.7118644067796609</v>
      </c>
      <c r="N10" s="144">
        <f t="shared" ref="N10" si="13">AVERAGE(J10:J11)</f>
        <v>9845.6340058134228</v>
      </c>
      <c r="O10" s="146">
        <f t="shared" ref="O10" si="14">AVERAGE(K10:K11)</f>
        <v>2282.6044835734365</v>
      </c>
      <c r="P10" s="146">
        <f t="shared" ref="P10" si="15">AVERAGE(L10:L11)</f>
        <v>6254.3362849912155</v>
      </c>
      <c r="Q10" s="148">
        <f t="shared" ref="Q10" si="16">AVERAGE(M10:M11)</f>
        <v>2.9108772583348852</v>
      </c>
      <c r="R10" s="144">
        <f t="shared" ref="R10" si="17">_xlfn.STDEV.P(J10:J11)</f>
        <v>410.86880704321993</v>
      </c>
      <c r="S10" s="146">
        <f t="shared" ref="S10" si="18">_xlfn.STDEV.P(K10:K11)</f>
        <v>486.95562316233401</v>
      </c>
      <c r="T10" s="146">
        <f t="shared" ref="T10" si="19">_xlfn.STDEV.P(L10:L11)</f>
        <v>410.86880704321857</v>
      </c>
      <c r="U10" s="148">
        <f t="shared" ref="U10" si="20">_xlfn.STDEV.P(M10:M11)</f>
        <v>0.80098714844477492</v>
      </c>
    </row>
    <row r="11" spans="1:21" x14ac:dyDescent="0.25">
      <c r="A11" s="33" t="s">
        <v>61</v>
      </c>
      <c r="B11">
        <v>0.25</v>
      </c>
      <c r="C11">
        <f t="shared" si="8"/>
        <v>0.9739112463246663</v>
      </c>
      <c r="D11">
        <v>40</v>
      </c>
      <c r="E11">
        <v>10</v>
      </c>
      <c r="F11">
        <v>6.7</v>
      </c>
      <c r="G11">
        <v>0.91</v>
      </c>
      <c r="H11">
        <v>1.92</v>
      </c>
      <c r="I11">
        <v>0.54</v>
      </c>
      <c r="J11">
        <f t="shared" si="12"/>
        <v>10256.502812856643</v>
      </c>
      <c r="K11">
        <f t="shared" si="9"/>
        <v>2769.5601067357702</v>
      </c>
      <c r="L11">
        <f t="shared" si="10"/>
        <v>5843.4674779479965</v>
      </c>
      <c r="M11">
        <f t="shared" si="11"/>
        <v>2.1098901098901091</v>
      </c>
      <c r="N11" s="144"/>
      <c r="O11" s="146"/>
      <c r="P11" s="146"/>
      <c r="Q11" s="148"/>
      <c r="R11" s="144"/>
      <c r="S11" s="146"/>
      <c r="T11" s="146"/>
      <c r="U11" s="148"/>
    </row>
    <row r="12" spans="1:21" x14ac:dyDescent="0.25">
      <c r="A12" s="33" t="s">
        <v>63</v>
      </c>
      <c r="B12">
        <v>0.25</v>
      </c>
      <c r="C12">
        <f t="shared" si="8"/>
        <v>0.9739112463246663</v>
      </c>
      <c r="D12">
        <v>40</v>
      </c>
      <c r="E12">
        <v>10</v>
      </c>
      <c r="F12">
        <v>6.5</v>
      </c>
      <c r="G12">
        <v>0.28000000000000003</v>
      </c>
      <c r="H12">
        <v>2</v>
      </c>
      <c r="I12">
        <v>0.54</v>
      </c>
      <c r="J12">
        <f t="shared" si="12"/>
        <v>8582.592858236123</v>
      </c>
      <c r="K12">
        <f t="shared" si="9"/>
        <v>852.17234053408299</v>
      </c>
      <c r="L12">
        <f t="shared" si="10"/>
        <v>6086.9452895291643</v>
      </c>
      <c r="M12">
        <f t="shared" si="11"/>
        <v>7.1428571428571432</v>
      </c>
      <c r="N12" s="144">
        <f t="shared" ref="N12" si="21">AVERAGE(J12:J13)</f>
        <v>8795.6359433696434</v>
      </c>
      <c r="O12" s="146">
        <f t="shared" ref="O12" si="22">AVERAGE(K12:K13)</f>
        <v>1095.6501521152495</v>
      </c>
      <c r="P12" s="146">
        <f t="shared" ref="P12" si="23">AVERAGE(L12:L13)</f>
        <v>6239.1189217673937</v>
      </c>
      <c r="Q12" s="148">
        <f t="shared" ref="Q12" si="24">AVERAGE(M12:M13)</f>
        <v>5.9577922077922087</v>
      </c>
      <c r="R12" s="144">
        <f t="shared" ref="R12" si="25">_xlfn.STDEV.P(J12:J13)</f>
        <v>213.04308513352044</v>
      </c>
      <c r="S12" s="146">
        <f t="shared" ref="S12" si="26">_xlfn.STDEV.P(K12:K13)</f>
        <v>243.47781158116604</v>
      </c>
      <c r="T12" s="146">
        <f t="shared" ref="T12" si="27">_xlfn.STDEV.P(L12:L13)</f>
        <v>152.1736322382294</v>
      </c>
      <c r="U12" s="148">
        <f t="shared" ref="U12" si="28">_xlfn.STDEV.P(M12:M13)</f>
        <v>1.1850649350649354</v>
      </c>
    </row>
    <row r="13" spans="1:21" x14ac:dyDescent="0.25">
      <c r="A13" s="33" t="s">
        <v>64</v>
      </c>
      <c r="B13">
        <v>0.25</v>
      </c>
      <c r="C13">
        <f t="shared" si="8"/>
        <v>0.9739112463246663</v>
      </c>
      <c r="D13">
        <v>40</v>
      </c>
      <c r="E13">
        <v>10</v>
      </c>
      <c r="F13">
        <v>6.6</v>
      </c>
      <c r="G13">
        <v>0.44</v>
      </c>
      <c r="H13">
        <v>2.1</v>
      </c>
      <c r="I13">
        <v>0.42</v>
      </c>
      <c r="J13">
        <f t="shared" si="12"/>
        <v>9008.6790285031639</v>
      </c>
      <c r="K13">
        <f t="shared" si="9"/>
        <v>1339.1279636964159</v>
      </c>
      <c r="L13">
        <f t="shared" si="10"/>
        <v>6391.2925540056231</v>
      </c>
      <c r="M13">
        <f t="shared" si="11"/>
        <v>4.7727272727272743</v>
      </c>
      <c r="N13" s="144"/>
      <c r="O13" s="146"/>
      <c r="P13" s="146"/>
      <c r="Q13" s="148"/>
      <c r="R13" s="144"/>
      <c r="S13" s="146"/>
      <c r="T13" s="146"/>
      <c r="U13" s="148"/>
    </row>
    <row r="14" spans="1:21" x14ac:dyDescent="0.25">
      <c r="A14" s="33" t="s">
        <v>66</v>
      </c>
      <c r="B14">
        <v>0.25</v>
      </c>
      <c r="C14">
        <f t="shared" si="8"/>
        <v>0.9739112463246663</v>
      </c>
      <c r="D14">
        <v>40</v>
      </c>
      <c r="E14">
        <v>10</v>
      </c>
      <c r="F14">
        <v>9.4</v>
      </c>
      <c r="G14">
        <v>1.79</v>
      </c>
      <c r="H14">
        <v>3.49</v>
      </c>
      <c r="I14">
        <v>0.62</v>
      </c>
      <c r="J14">
        <f t="shared" si="12"/>
        <v>17956.488604111037</v>
      </c>
      <c r="K14">
        <f t="shared" si="9"/>
        <v>5447.816034128603</v>
      </c>
      <c r="L14">
        <f t="shared" si="10"/>
        <v>10621.719530228393</v>
      </c>
      <c r="M14">
        <f t="shared" si="11"/>
        <v>1.9497206703910612</v>
      </c>
      <c r="N14" s="144">
        <f t="shared" ref="N14" si="29">AVERAGE(J14:J15)</f>
        <v>22263.002396452921</v>
      </c>
      <c r="O14" s="146">
        <f t="shared" ref="O14" si="30">AVERAGE(K14:K15)</f>
        <v>6163.032105648279</v>
      </c>
      <c r="P14" s="146">
        <f>AVERAGE(L14:L15)</f>
        <v>13817.365807231203</v>
      </c>
      <c r="Q14" s="148">
        <f t="shared" ref="Q14" si="31">AVERAGE(M14:M15)</f>
        <v>2.2115859989123448</v>
      </c>
      <c r="R14" s="144">
        <f t="shared" ref="R14" si="32">_xlfn.STDEV.P(J14:J15)</f>
        <v>4306.513792341887</v>
      </c>
      <c r="S14" s="146">
        <f t="shared" ref="S14" si="33">_xlfn.STDEV.P(K14:K15)</f>
        <v>715.21607151967839</v>
      </c>
      <c r="T14" s="146">
        <f>_xlfn.STDEV.P(L14:L15)</f>
        <v>3195.646277002817</v>
      </c>
      <c r="U14" s="148">
        <f>_xlfn.STDEV.P(M14:M15)</f>
        <v>0.26186532852128447</v>
      </c>
    </row>
    <row r="15" spans="1:21" x14ac:dyDescent="0.25">
      <c r="A15" s="33" t="s">
        <v>67</v>
      </c>
      <c r="B15">
        <v>0.25</v>
      </c>
      <c r="C15">
        <f t="shared" si="8"/>
        <v>0.9739112463246663</v>
      </c>
      <c r="D15">
        <v>40</v>
      </c>
      <c r="E15">
        <v>10</v>
      </c>
      <c r="F15">
        <v>9.4</v>
      </c>
      <c r="G15">
        <v>2.2599999999999998</v>
      </c>
      <c r="H15">
        <v>5.59</v>
      </c>
      <c r="I15">
        <v>0.88</v>
      </c>
      <c r="J15">
        <f t="shared" si="12"/>
        <v>26569.516188794805</v>
      </c>
      <c r="K15">
        <f t="shared" si="9"/>
        <v>6878.248177167955</v>
      </c>
      <c r="L15">
        <f t="shared" si="10"/>
        <v>17013.012084234015</v>
      </c>
      <c r="M15">
        <f t="shared" si="11"/>
        <v>2.4734513274336285</v>
      </c>
      <c r="N15" s="144"/>
      <c r="O15" s="146"/>
      <c r="P15" s="146"/>
      <c r="Q15" s="148"/>
      <c r="R15" s="144"/>
      <c r="S15" s="146"/>
      <c r="T15" s="146"/>
      <c r="U15" s="148"/>
    </row>
    <row r="16" spans="1:21" x14ac:dyDescent="0.25">
      <c r="A16" s="33" t="s">
        <v>69</v>
      </c>
      <c r="B16">
        <v>0.25</v>
      </c>
      <c r="C16">
        <f t="shared" si="8"/>
        <v>0.9739112463246663</v>
      </c>
      <c r="D16">
        <v>40</v>
      </c>
      <c r="E16">
        <v>10</v>
      </c>
      <c r="F16">
        <v>6.7</v>
      </c>
      <c r="G16">
        <v>0.53</v>
      </c>
      <c r="H16">
        <v>5.67</v>
      </c>
      <c r="I16">
        <v>0.5</v>
      </c>
      <c r="J16">
        <f t="shared" si="12"/>
        <v>20391.2667199227</v>
      </c>
      <c r="K16">
        <f t="shared" si="9"/>
        <v>1613.0405017252285</v>
      </c>
      <c r="L16">
        <f t="shared" si="10"/>
        <v>17256.489895815183</v>
      </c>
      <c r="M16">
        <f t="shared" si="11"/>
        <v>10.698113207547172</v>
      </c>
      <c r="N16" s="144">
        <f t="shared" ref="N16" si="34">AVERAGE(J16:J17)</f>
        <v>17013.012084234015</v>
      </c>
      <c r="O16" s="146">
        <f t="shared" ref="O16" si="35">AVERAGE(K16:K17)</f>
        <v>1826.0835868587492</v>
      </c>
      <c r="P16" s="146">
        <f t="shared" ref="P16" si="36">AVERAGE(L16:L17)</f>
        <v>13695.626901440621</v>
      </c>
      <c r="Q16" s="148">
        <f t="shared" ref="Q16" si="37">AVERAGE(M16:M17)</f>
        <v>7.8341312306392581</v>
      </c>
      <c r="R16" s="144">
        <f t="shared" ref="R16" si="38">_xlfn.STDEV.P(J16:J17)</f>
        <v>3378.2546356886828</v>
      </c>
      <c r="S16" s="146">
        <f t="shared" ref="S16" si="39">_xlfn.STDEV.P(K16:K17)</f>
        <v>213.04308513352177</v>
      </c>
      <c r="T16" s="146">
        <f t="shared" ref="T16" si="40">_xlfn.STDEV.P(L16:L17)</f>
        <v>3560.862994374565</v>
      </c>
      <c r="U16" s="148">
        <f t="shared" ref="U16" si="41">_xlfn.STDEV.P(M16:M17)</f>
        <v>2.8639819769079131</v>
      </c>
    </row>
    <row r="17" spans="1:21" x14ac:dyDescent="0.25">
      <c r="A17" s="33" t="s">
        <v>70</v>
      </c>
      <c r="B17">
        <v>0.25</v>
      </c>
      <c r="C17">
        <f t="shared" si="8"/>
        <v>0.9739112463246663</v>
      </c>
      <c r="D17">
        <v>40</v>
      </c>
      <c r="E17">
        <v>10</v>
      </c>
      <c r="F17">
        <v>6.7</v>
      </c>
      <c r="G17">
        <v>0.67</v>
      </c>
      <c r="H17">
        <v>3.33</v>
      </c>
      <c r="I17">
        <v>0.48</v>
      </c>
      <c r="J17">
        <f t="shared" si="12"/>
        <v>13634.757448545331</v>
      </c>
      <c r="K17">
        <f t="shared" si="9"/>
        <v>2039.1266719922701</v>
      </c>
      <c r="L17">
        <f t="shared" si="10"/>
        <v>10134.763907066061</v>
      </c>
      <c r="M17">
        <f t="shared" si="11"/>
        <v>4.9701492537313445</v>
      </c>
      <c r="N17" s="144"/>
      <c r="O17" s="146"/>
      <c r="P17" s="146"/>
      <c r="Q17" s="148"/>
      <c r="R17" s="144"/>
      <c r="S17" s="146"/>
      <c r="T17" s="146"/>
      <c r="U17" s="148"/>
    </row>
    <row r="18" spans="1:21" x14ac:dyDescent="0.25">
      <c r="A18" s="33" t="s">
        <v>72</v>
      </c>
      <c r="B18">
        <v>0.25</v>
      </c>
      <c r="C18">
        <f t="shared" si="8"/>
        <v>0.9739112463246663</v>
      </c>
      <c r="D18">
        <v>40</v>
      </c>
      <c r="E18">
        <v>10</v>
      </c>
      <c r="F18">
        <v>6.6</v>
      </c>
      <c r="G18">
        <v>0.36</v>
      </c>
      <c r="H18">
        <v>4.53</v>
      </c>
      <c r="I18">
        <v>1.51</v>
      </c>
      <c r="J18">
        <f t="shared" si="12"/>
        <v>19478.224926493327</v>
      </c>
      <c r="K18">
        <f t="shared" si="9"/>
        <v>1095.6501521152495</v>
      </c>
      <c r="L18">
        <f t="shared" si="10"/>
        <v>13786.931080783557</v>
      </c>
      <c r="M18">
        <f t="shared" si="11"/>
        <v>12.583333333333334</v>
      </c>
      <c r="N18" s="144">
        <f>AVERAGE(J18:J19)</f>
        <v>16328.230739161983</v>
      </c>
      <c r="O18" s="146">
        <f t="shared" ref="O18" si="42">AVERAGE(K18:K19)</f>
        <v>1126.0848785628955</v>
      </c>
      <c r="P18" s="146">
        <f t="shared" ref="P18" si="43">AVERAGE(L18:L19)</f>
        <v>11367.370328195715</v>
      </c>
      <c r="Q18" s="148">
        <f t="shared" ref="Q18" si="44">AVERAGE(M18:M19)</f>
        <v>10.160087719298247</v>
      </c>
      <c r="R18" s="144">
        <f>_xlfn.STDEV.P(J18:J19)</f>
        <v>3149.9941873313524</v>
      </c>
      <c r="S18" s="146">
        <f t="shared" ref="S18" si="45">_xlfn.STDEV.P(K18:K19)</f>
        <v>30.434726447645858</v>
      </c>
      <c r="T18" s="146">
        <f t="shared" ref="T18" si="46">_xlfn.STDEV.P(L18:L19)</f>
        <v>2419.5607525878445</v>
      </c>
      <c r="U18" s="148">
        <f t="shared" ref="U18" si="47">_xlfn.STDEV.P(M18:M19)</f>
        <v>2.4232456140350904</v>
      </c>
    </row>
    <row r="19" spans="1:21" ht="15.75" thickBot="1" x14ac:dyDescent="0.3">
      <c r="A19" s="34" t="s">
        <v>73</v>
      </c>
      <c r="B19" s="18">
        <v>0.25</v>
      </c>
      <c r="C19" s="18">
        <f t="shared" si="8"/>
        <v>0.9739112463246663</v>
      </c>
      <c r="D19" s="18">
        <v>40</v>
      </c>
      <c r="E19" s="18">
        <v>10</v>
      </c>
      <c r="F19" s="18">
        <v>6.6</v>
      </c>
      <c r="G19" s="18">
        <v>0.38</v>
      </c>
      <c r="H19" s="18">
        <v>2.94</v>
      </c>
      <c r="I19" s="18">
        <v>1.01</v>
      </c>
      <c r="J19" s="18">
        <f t="shared" si="12"/>
        <v>13178.236551830641</v>
      </c>
      <c r="K19" s="18">
        <f t="shared" si="9"/>
        <v>1156.5196050105412</v>
      </c>
      <c r="L19" s="18">
        <f t="shared" si="10"/>
        <v>8947.8095756078728</v>
      </c>
      <c r="M19" s="18">
        <f t="shared" si="11"/>
        <v>7.7368421052631593</v>
      </c>
      <c r="N19" s="145"/>
      <c r="O19" s="147"/>
      <c r="P19" s="147"/>
      <c r="Q19" s="149"/>
      <c r="R19" s="145"/>
      <c r="S19" s="147"/>
      <c r="T19" s="147"/>
      <c r="U19" s="149"/>
    </row>
    <row r="20" spans="1:21" ht="15.75" thickBot="1" x14ac:dyDescent="0.3">
      <c r="B20" t="s">
        <v>124</v>
      </c>
      <c r="F20" t="s">
        <v>221</v>
      </c>
    </row>
    <row r="21" spans="1:21" x14ac:dyDescent="0.25">
      <c r="A21" s="30"/>
      <c r="B21" s="31" t="s">
        <v>118</v>
      </c>
      <c r="C21" s="31" t="s">
        <v>119</v>
      </c>
      <c r="D21" s="31" t="s">
        <v>120</v>
      </c>
      <c r="E21" s="32" t="s">
        <v>121</v>
      </c>
      <c r="F21" s="31" t="s">
        <v>118</v>
      </c>
      <c r="G21" s="31" t="s">
        <v>119</v>
      </c>
      <c r="H21" s="31" t="s">
        <v>120</v>
      </c>
      <c r="I21" s="32" t="s">
        <v>121</v>
      </c>
    </row>
    <row r="22" spans="1:21" x14ac:dyDescent="0.25">
      <c r="A22" s="33" t="s">
        <v>84</v>
      </c>
      <c r="B22" s="40">
        <f>N8</f>
        <v>13771.713717559735</v>
      </c>
      <c r="C22">
        <f t="shared" ref="C22:D22" si="48">O8</f>
        <v>6528.2488230200288</v>
      </c>
      <c r="D22">
        <f t="shared" si="48"/>
        <v>6269.5536482150383</v>
      </c>
      <c r="E22" s="10">
        <f>Q8</f>
        <v>0.98601629597005058</v>
      </c>
      <c r="F22">
        <f>R8</f>
        <v>136.95626901440846</v>
      </c>
      <c r="G22">
        <f t="shared" ref="G22" si="49">S8</f>
        <v>745.65079796731618</v>
      </c>
      <c r="H22">
        <f t="shared" ref="H22" si="50">T8</f>
        <v>730.43343474350399</v>
      </c>
      <c r="I22" s="10">
        <f>U8</f>
        <v>0.22451001981942295</v>
      </c>
    </row>
    <row r="23" spans="1:21" x14ac:dyDescent="0.25">
      <c r="A23" s="33" t="s">
        <v>85</v>
      </c>
      <c r="B23" s="40">
        <f>N10</f>
        <v>9845.6340058134228</v>
      </c>
      <c r="C23">
        <f t="shared" ref="C23:D23" si="51">O10</f>
        <v>2282.6044835734365</v>
      </c>
      <c r="D23">
        <f t="shared" si="51"/>
        <v>6254.3362849912155</v>
      </c>
      <c r="E23" s="10">
        <f>Q10</f>
        <v>2.9108772583348852</v>
      </c>
      <c r="F23">
        <f>R10</f>
        <v>410.86880704321993</v>
      </c>
      <c r="G23">
        <f t="shared" ref="G23" si="52">S10</f>
        <v>486.95562316233401</v>
      </c>
      <c r="H23">
        <f t="shared" ref="H23" si="53">T10</f>
        <v>410.86880704321857</v>
      </c>
      <c r="I23" s="10">
        <f>U10</f>
        <v>0.80098714844477492</v>
      </c>
    </row>
    <row r="24" spans="1:21" x14ac:dyDescent="0.25">
      <c r="A24" s="33" t="s">
        <v>86</v>
      </c>
      <c r="B24" s="40">
        <f>N12</f>
        <v>8795.6359433696434</v>
      </c>
      <c r="C24">
        <f t="shared" ref="C24:D24" si="54">O12</f>
        <v>1095.6501521152495</v>
      </c>
      <c r="D24">
        <f t="shared" si="54"/>
        <v>6239.1189217673937</v>
      </c>
      <c r="E24" s="10">
        <f>Q12</f>
        <v>5.9577922077922087</v>
      </c>
      <c r="F24">
        <f>R12</f>
        <v>213.04308513352044</v>
      </c>
      <c r="G24">
        <f t="shared" ref="G24" si="55">S12</f>
        <v>243.47781158116604</v>
      </c>
      <c r="H24">
        <f t="shared" ref="H24" si="56">T12</f>
        <v>152.1736322382294</v>
      </c>
      <c r="I24" s="10">
        <f>U12</f>
        <v>1.1850649350649354</v>
      </c>
    </row>
    <row r="25" spans="1:21" x14ac:dyDescent="0.25">
      <c r="A25" s="33" t="s">
        <v>87</v>
      </c>
      <c r="B25" s="40">
        <f>N14</f>
        <v>22263.002396452921</v>
      </c>
      <c r="C25">
        <f t="shared" ref="C25:D25" si="57">O14</f>
        <v>6163.032105648279</v>
      </c>
      <c r="D25">
        <f t="shared" si="57"/>
        <v>13817.365807231203</v>
      </c>
      <c r="E25" s="10">
        <f>Q14</f>
        <v>2.2115859989123448</v>
      </c>
      <c r="F25">
        <f>R14</f>
        <v>4306.513792341887</v>
      </c>
      <c r="G25">
        <f t="shared" ref="G25" si="58">S14</f>
        <v>715.21607151967839</v>
      </c>
      <c r="H25">
        <f t="shared" ref="H25" si="59">T14</f>
        <v>3195.646277002817</v>
      </c>
      <c r="I25" s="10">
        <f>U14</f>
        <v>0.26186532852128447</v>
      </c>
    </row>
    <row r="26" spans="1:21" x14ac:dyDescent="0.25">
      <c r="A26" s="33" t="s">
        <v>88</v>
      </c>
      <c r="B26" s="40">
        <f>N16</f>
        <v>17013.012084234015</v>
      </c>
      <c r="C26">
        <f t="shared" ref="C26:D26" si="60">O16</f>
        <v>1826.0835868587492</v>
      </c>
      <c r="D26">
        <f t="shared" si="60"/>
        <v>13695.626901440621</v>
      </c>
      <c r="E26" s="10">
        <f>Q16</f>
        <v>7.8341312306392581</v>
      </c>
      <c r="F26">
        <f>R16</f>
        <v>3378.2546356886828</v>
      </c>
      <c r="G26">
        <f t="shared" ref="G26" si="61">S16</f>
        <v>213.04308513352177</v>
      </c>
      <c r="H26">
        <f t="shared" ref="H26" si="62">T16</f>
        <v>3560.862994374565</v>
      </c>
      <c r="I26" s="10">
        <f>U16</f>
        <v>2.8639819769079131</v>
      </c>
    </row>
    <row r="27" spans="1:21" ht="15.75" thickBot="1" x14ac:dyDescent="0.3">
      <c r="A27" s="34" t="s">
        <v>89</v>
      </c>
      <c r="B27" s="41">
        <f>N18</f>
        <v>16328.230739161983</v>
      </c>
      <c r="C27" s="18">
        <f t="shared" ref="C27:D27" si="63">O18</f>
        <v>1126.0848785628955</v>
      </c>
      <c r="D27" s="18">
        <f t="shared" si="63"/>
        <v>11367.370328195715</v>
      </c>
      <c r="E27" s="20">
        <f>Q18</f>
        <v>10.160087719298247</v>
      </c>
      <c r="F27" s="18">
        <f>R18</f>
        <v>3149.9941873313524</v>
      </c>
      <c r="G27" s="18">
        <f t="shared" ref="G27" si="64">S18</f>
        <v>30.434726447645858</v>
      </c>
      <c r="H27" s="18">
        <f t="shared" ref="H27" si="65">T18</f>
        <v>2419.5607525878445</v>
      </c>
      <c r="I27" s="20">
        <f>U18</f>
        <v>2.4232456140350904</v>
      </c>
    </row>
    <row r="28" spans="1:21" ht="15.75" thickBot="1" x14ac:dyDescent="0.3"/>
    <row r="29" spans="1:21" ht="15.75" thickBot="1" x14ac:dyDescent="0.3">
      <c r="A29" t="s">
        <v>122</v>
      </c>
      <c r="N29" s="150" t="s">
        <v>39</v>
      </c>
      <c r="O29" s="151"/>
      <c r="P29" s="151"/>
      <c r="Q29" s="152"/>
      <c r="R29" s="150" t="s">
        <v>221</v>
      </c>
      <c r="S29" s="151"/>
      <c r="T29" s="151"/>
      <c r="U29" s="152"/>
    </row>
    <row r="30" spans="1:21" x14ac:dyDescent="0.25">
      <c r="A30" s="30" t="s">
        <v>109</v>
      </c>
      <c r="B30" s="31" t="s">
        <v>110</v>
      </c>
      <c r="C30" s="31" t="s">
        <v>111</v>
      </c>
      <c r="D30" s="31" t="s">
        <v>112</v>
      </c>
      <c r="E30" s="31" t="s">
        <v>113</v>
      </c>
      <c r="F30" s="31" t="s">
        <v>114</v>
      </c>
      <c r="G30" s="31" t="s">
        <v>115</v>
      </c>
      <c r="H30" s="31" t="s">
        <v>116</v>
      </c>
      <c r="I30" s="31" t="s">
        <v>117</v>
      </c>
      <c r="J30" s="31" t="s">
        <v>118</v>
      </c>
      <c r="K30" s="31" t="s">
        <v>119</v>
      </c>
      <c r="L30" s="31" t="s">
        <v>120</v>
      </c>
      <c r="M30" s="32" t="s">
        <v>121</v>
      </c>
      <c r="N30" s="30" t="s">
        <v>118</v>
      </c>
      <c r="O30" s="31" t="s">
        <v>119</v>
      </c>
      <c r="P30" s="31" t="s">
        <v>120</v>
      </c>
      <c r="Q30" s="32" t="s">
        <v>121</v>
      </c>
      <c r="R30" s="30" t="s">
        <v>118</v>
      </c>
      <c r="S30" s="31" t="s">
        <v>119</v>
      </c>
      <c r="T30" s="31" t="s">
        <v>120</v>
      </c>
      <c r="U30" s="32" t="s">
        <v>121</v>
      </c>
    </row>
    <row r="31" spans="1:21" x14ac:dyDescent="0.25">
      <c r="A31" s="33" t="s">
        <v>57</v>
      </c>
      <c r="B31">
        <v>0.25</v>
      </c>
      <c r="C31">
        <f>$E$5</f>
        <v>0.9739112463246663</v>
      </c>
      <c r="D31">
        <v>40</v>
      </c>
      <c r="E31">
        <v>10</v>
      </c>
      <c r="F31">
        <v>9.9</v>
      </c>
      <c r="G31">
        <v>3.31</v>
      </c>
      <c r="H31">
        <v>2.74</v>
      </c>
      <c r="I31">
        <v>0.52</v>
      </c>
      <c r="J31">
        <f>(G31+H31+I31)*B31*C31*50000*E31/D31</f>
        <v>19995.615276103308</v>
      </c>
      <c r="K31">
        <f>G31*B31*C31*E31*50000/D31</f>
        <v>10073.89445417077</v>
      </c>
      <c r="L31">
        <f>H31*B31*C31*E31*50000/D31</f>
        <v>8339.1150466549552</v>
      </c>
      <c r="M31" s="10">
        <f>L31/K31</f>
        <v>0.82779456193353451</v>
      </c>
      <c r="N31" s="144">
        <f>AVERAGE(J31:J32)</f>
        <v>26584.733552018628</v>
      </c>
      <c r="O31" s="146">
        <f>AVERAGE(K31:K32)</f>
        <v>11595.630776553058</v>
      </c>
      <c r="P31" s="146">
        <f t="shared" ref="P31" si="66">AVERAGE(L31:L32)</f>
        <v>14106.495708483841</v>
      </c>
      <c r="Q31" s="148">
        <f t="shared" ref="Q31" si="67">AVERAGE(M31:M32)</f>
        <v>1.1714378842150275</v>
      </c>
      <c r="R31" s="144">
        <f>_xlfn.STDEV.P(J31:J32)</f>
        <v>6589.1182759153262</v>
      </c>
      <c r="S31" s="146">
        <f t="shared" ref="S31" si="68">_xlfn.STDEV.P(K31:K32)</f>
        <v>1521.7363223822804</v>
      </c>
      <c r="T31" s="146">
        <f t="shared" ref="T31" si="69">_xlfn.STDEV.P(L31:L32)</f>
        <v>5767.3806618288845</v>
      </c>
      <c r="U31" s="148">
        <f t="shared" ref="U31" si="70">_xlfn.STDEV.P(M31:M32)</f>
        <v>0.3436433222814923</v>
      </c>
    </row>
    <row r="32" spans="1:21" x14ac:dyDescent="0.25">
      <c r="A32" s="33" t="s">
        <v>58</v>
      </c>
      <c r="B32">
        <v>0.25</v>
      </c>
      <c r="C32">
        <f t="shared" ref="C32:C42" si="71">$E$5</f>
        <v>0.9739112463246663</v>
      </c>
      <c r="D32">
        <v>40</v>
      </c>
      <c r="E32">
        <v>10</v>
      </c>
      <c r="F32">
        <v>9.8000000000000007</v>
      </c>
      <c r="G32">
        <v>4.3099999999999996</v>
      </c>
      <c r="H32">
        <v>6.53</v>
      </c>
      <c r="I32">
        <v>0.06</v>
      </c>
      <c r="J32">
        <f t="shared" ref="J32:J42" si="72">(G32+H32+I32)*B32*C32*50000*E32/D32</f>
        <v>33173.851827933948</v>
      </c>
      <c r="K32">
        <f t="shared" ref="K32:K42" si="73">G32*B32*C32*E32*50000/D32</f>
        <v>13117.367098935347</v>
      </c>
      <c r="L32">
        <f t="shared" ref="L32:L42" si="74">H32*B32*C32*E32*50000/D32</f>
        <v>19873.876370312726</v>
      </c>
      <c r="M32" s="10">
        <f t="shared" ref="M32:M42" si="75">L32/K32</f>
        <v>1.5150812064965202</v>
      </c>
      <c r="N32" s="144"/>
      <c r="O32" s="146"/>
      <c r="P32" s="146"/>
      <c r="Q32" s="148"/>
      <c r="R32" s="144"/>
      <c r="S32" s="146"/>
      <c r="T32" s="146"/>
      <c r="U32" s="148"/>
    </row>
    <row r="33" spans="1:21" x14ac:dyDescent="0.25">
      <c r="A33" s="33" t="s">
        <v>60</v>
      </c>
      <c r="B33">
        <v>0.25</v>
      </c>
      <c r="C33">
        <f t="shared" si="71"/>
        <v>0.9739112463246663</v>
      </c>
      <c r="D33">
        <v>40</v>
      </c>
      <c r="E33">
        <v>10</v>
      </c>
      <c r="F33">
        <v>7.6</v>
      </c>
      <c r="G33">
        <v>1.1299999999999999</v>
      </c>
      <c r="H33">
        <v>2.4300000000000002</v>
      </c>
      <c r="I33">
        <v>0.36</v>
      </c>
      <c r="J33">
        <f t="shared" si="72"/>
        <v>11930.412767477163</v>
      </c>
      <c r="K33">
        <f t="shared" si="73"/>
        <v>3439.1240885839775</v>
      </c>
      <c r="L33">
        <f t="shared" si="74"/>
        <v>7395.638526777936</v>
      </c>
      <c r="M33" s="10">
        <f t="shared" si="75"/>
        <v>2.1504424778761067</v>
      </c>
      <c r="N33" s="144">
        <f t="shared" ref="N33" si="76">AVERAGE(J33:J34)</f>
        <v>12813.019834458893</v>
      </c>
      <c r="O33" s="146">
        <f t="shared" ref="O33" si="77">AVERAGE(K33:K34)</f>
        <v>4093.4707072083629</v>
      </c>
      <c r="P33" s="146">
        <f t="shared" ref="P33" si="78">AVERAGE(L33:L34)</f>
        <v>7502.1600693446953</v>
      </c>
      <c r="Q33" s="148">
        <f t="shared" ref="Q33" si="79">AVERAGE(M33:M34)</f>
        <v>1.8765032902201044</v>
      </c>
      <c r="R33" s="144">
        <f t="shared" ref="R33" si="80">_xlfn.STDEV.P(J33:J34)</f>
        <v>882.60706698172999</v>
      </c>
      <c r="S33" s="146">
        <f t="shared" ref="S33" si="81">_xlfn.STDEV.P(K33:K34)</f>
        <v>654.34661862438759</v>
      </c>
      <c r="T33" s="146">
        <f t="shared" ref="T33" si="82">_xlfn.STDEV.P(L33:L34)</f>
        <v>106.52154256675931</v>
      </c>
      <c r="U33" s="148">
        <f t="shared" ref="U33" si="83">_xlfn.STDEV.P(M33:M34)</f>
        <v>0.27393918765600228</v>
      </c>
    </row>
    <row r="34" spans="1:21" x14ac:dyDescent="0.25">
      <c r="A34" s="33" t="s">
        <v>61</v>
      </c>
      <c r="B34">
        <v>0.25</v>
      </c>
      <c r="C34">
        <f t="shared" si="71"/>
        <v>0.9739112463246663</v>
      </c>
      <c r="D34">
        <v>40</v>
      </c>
      <c r="E34">
        <v>10</v>
      </c>
      <c r="F34">
        <v>7.6</v>
      </c>
      <c r="G34">
        <v>1.56</v>
      </c>
      <c r="H34">
        <v>2.5</v>
      </c>
      <c r="I34">
        <v>0.44</v>
      </c>
      <c r="J34">
        <f t="shared" si="72"/>
        <v>13695.626901440623</v>
      </c>
      <c r="K34">
        <f t="shared" si="73"/>
        <v>4747.8173258327488</v>
      </c>
      <c r="L34">
        <f t="shared" si="74"/>
        <v>7608.6816119114546</v>
      </c>
      <c r="M34" s="10">
        <f t="shared" si="75"/>
        <v>1.6025641025641022</v>
      </c>
      <c r="N34" s="144"/>
      <c r="O34" s="146"/>
      <c r="P34" s="146"/>
      <c r="Q34" s="148"/>
      <c r="R34" s="144"/>
      <c r="S34" s="146"/>
      <c r="T34" s="146"/>
      <c r="U34" s="148"/>
    </row>
    <row r="35" spans="1:21" x14ac:dyDescent="0.25">
      <c r="A35" s="33" t="s">
        <v>63</v>
      </c>
      <c r="B35">
        <v>0.25</v>
      </c>
      <c r="C35">
        <f t="shared" si="71"/>
        <v>0.9739112463246663</v>
      </c>
      <c r="D35">
        <v>40</v>
      </c>
      <c r="E35">
        <v>10</v>
      </c>
      <c r="F35">
        <v>7</v>
      </c>
      <c r="G35">
        <v>0.87</v>
      </c>
      <c r="H35">
        <v>2.39</v>
      </c>
      <c r="I35">
        <v>0.34</v>
      </c>
      <c r="J35">
        <f t="shared" si="72"/>
        <v>10956.501521152497</v>
      </c>
      <c r="K35">
        <f t="shared" si="73"/>
        <v>2647.8212009451863</v>
      </c>
      <c r="L35">
        <f t="shared" si="74"/>
        <v>7273.8996209873512</v>
      </c>
      <c r="M35" s="10">
        <f t="shared" si="75"/>
        <v>2.7471264367816093</v>
      </c>
      <c r="N35" s="144">
        <f t="shared" ref="N35" si="84">AVERAGE(J35:J36)</f>
        <v>10789.110525690445</v>
      </c>
      <c r="O35" s="146">
        <f t="shared" ref="O35" si="85">AVERAGE(K35:K36)</f>
        <v>2876.0816493025304</v>
      </c>
      <c r="P35" s="146">
        <f t="shared" ref="P35" si="86">AVERAGE(L35:L36)</f>
        <v>6665.2050920344354</v>
      </c>
      <c r="Q35" s="148">
        <f t="shared" ref="Q35" si="87">AVERAGE(M35:M36)</f>
        <v>2.3490534144692359</v>
      </c>
      <c r="R35" s="144">
        <f t="shared" ref="R35" si="88">_xlfn.STDEV.P(J35:J36)</f>
        <v>167.39099546205307</v>
      </c>
      <c r="S35" s="146">
        <f t="shared" ref="S35" si="89">_xlfn.STDEV.P(K35:K36)</f>
        <v>228.26044835734388</v>
      </c>
      <c r="T35" s="146">
        <f t="shared" ref="T35" si="90">_xlfn.STDEV.P(L35:L36)</f>
        <v>608.69452895291624</v>
      </c>
      <c r="U35" s="148">
        <f t="shared" ref="U35" si="91">_xlfn.STDEV.P(M35:M36)</f>
        <v>0.39807302231237335</v>
      </c>
    </row>
    <row r="36" spans="1:21" x14ac:dyDescent="0.25">
      <c r="A36" s="33" t="s">
        <v>64</v>
      </c>
      <c r="B36">
        <v>0.25</v>
      </c>
      <c r="C36">
        <f t="shared" si="71"/>
        <v>0.9739112463246663</v>
      </c>
      <c r="D36">
        <v>40</v>
      </c>
      <c r="E36">
        <v>10</v>
      </c>
      <c r="F36">
        <v>7.4</v>
      </c>
      <c r="G36">
        <v>1.02</v>
      </c>
      <c r="H36">
        <v>1.99</v>
      </c>
      <c r="I36">
        <v>0.48</v>
      </c>
      <c r="J36">
        <f t="shared" si="72"/>
        <v>10621.719530228391</v>
      </c>
      <c r="K36">
        <f t="shared" si="73"/>
        <v>3104.3420976598741</v>
      </c>
      <c r="L36">
        <f t="shared" si="74"/>
        <v>6056.5105630815187</v>
      </c>
      <c r="M36" s="10">
        <f t="shared" si="75"/>
        <v>1.9509803921568627</v>
      </c>
      <c r="N36" s="144"/>
      <c r="O36" s="146"/>
      <c r="P36" s="146"/>
      <c r="Q36" s="148"/>
      <c r="R36" s="144"/>
      <c r="S36" s="146"/>
      <c r="T36" s="146"/>
      <c r="U36" s="148"/>
    </row>
    <row r="37" spans="1:21" x14ac:dyDescent="0.25">
      <c r="A37" s="33" t="s">
        <v>66</v>
      </c>
      <c r="B37">
        <v>0.25</v>
      </c>
      <c r="C37">
        <f t="shared" si="71"/>
        <v>0.9739112463246663</v>
      </c>
      <c r="D37">
        <v>40</v>
      </c>
      <c r="E37">
        <v>10</v>
      </c>
      <c r="F37">
        <v>9.8000000000000007</v>
      </c>
      <c r="G37">
        <v>3.35</v>
      </c>
      <c r="H37">
        <v>6.66</v>
      </c>
      <c r="I37">
        <v>0.38</v>
      </c>
      <c r="J37">
        <f t="shared" si="72"/>
        <v>31621.680779104012</v>
      </c>
      <c r="K37">
        <f t="shared" si="73"/>
        <v>10195.633359961352</v>
      </c>
      <c r="L37">
        <f t="shared" si="74"/>
        <v>20269.527814132121</v>
      </c>
      <c r="M37" s="10">
        <f t="shared" si="75"/>
        <v>1.9880597014925374</v>
      </c>
      <c r="N37" s="144">
        <f t="shared" ref="N37" si="92">AVERAGE(J37:J38)</f>
        <v>30419.509084422003</v>
      </c>
      <c r="O37" s="146">
        <f t="shared" ref="O37" si="93">AVERAGE(K37:K38)</f>
        <v>9921.7208219325385</v>
      </c>
      <c r="P37" s="146">
        <f>AVERAGE(L37:L38)</f>
        <v>19341.268657478922</v>
      </c>
      <c r="Q37" s="148">
        <f t="shared" ref="Q37" si="94">AVERAGE(M37:M38)</f>
        <v>1.948288525825133</v>
      </c>
      <c r="R37" s="144">
        <f t="shared" ref="R37" si="95">_xlfn.STDEV.P(J37:J38)</f>
        <v>1202.1716946820088</v>
      </c>
      <c r="S37" s="146">
        <f t="shared" ref="S37" si="96">_xlfn.STDEV.P(K37:K38)</f>
        <v>273.91253802881329</v>
      </c>
      <c r="T37" s="146">
        <f>_xlfn.STDEV.P(L37:L38)</f>
        <v>928.25915665319917</v>
      </c>
      <c r="U37" s="148">
        <f>_xlfn.STDEV.P(M37:M38)</f>
        <v>3.977117566740429E-2</v>
      </c>
    </row>
    <row r="38" spans="1:21" x14ac:dyDescent="0.25">
      <c r="A38" s="33" t="s">
        <v>67</v>
      </c>
      <c r="B38">
        <v>0.25</v>
      </c>
      <c r="C38">
        <f t="shared" si="71"/>
        <v>0.9739112463246663</v>
      </c>
      <c r="D38">
        <v>40</v>
      </c>
      <c r="E38">
        <v>10</v>
      </c>
      <c r="F38">
        <v>9.6999999999999993</v>
      </c>
      <c r="G38">
        <v>3.17</v>
      </c>
      <c r="H38">
        <v>6.05</v>
      </c>
      <c r="I38">
        <v>0.38</v>
      </c>
      <c r="J38">
        <f t="shared" si="72"/>
        <v>29217.337389739994</v>
      </c>
      <c r="K38">
        <f t="shared" si="73"/>
        <v>9647.8082839037252</v>
      </c>
      <c r="L38">
        <f t="shared" si="74"/>
        <v>18413.009500825723</v>
      </c>
      <c r="M38" s="10">
        <f t="shared" si="75"/>
        <v>1.9085173501577288</v>
      </c>
      <c r="N38" s="144"/>
      <c r="O38" s="146"/>
      <c r="P38" s="146"/>
      <c r="Q38" s="148"/>
      <c r="R38" s="144"/>
      <c r="S38" s="146"/>
      <c r="T38" s="146"/>
      <c r="U38" s="148"/>
    </row>
    <row r="39" spans="1:21" x14ac:dyDescent="0.25">
      <c r="A39" s="33" t="s">
        <v>69</v>
      </c>
      <c r="B39">
        <v>0.25</v>
      </c>
      <c r="C39">
        <f t="shared" si="71"/>
        <v>0.9739112463246663</v>
      </c>
      <c r="D39">
        <v>40</v>
      </c>
      <c r="E39">
        <v>10</v>
      </c>
      <c r="F39">
        <v>7.5</v>
      </c>
      <c r="G39">
        <v>1.36</v>
      </c>
      <c r="H39">
        <v>5.46</v>
      </c>
      <c r="I39">
        <v>1.05</v>
      </c>
      <c r="J39">
        <f t="shared" si="72"/>
        <v>23952.129714297262</v>
      </c>
      <c r="K39">
        <f t="shared" si="73"/>
        <v>4139.1227968798321</v>
      </c>
      <c r="L39">
        <f t="shared" si="74"/>
        <v>16617.360640414619</v>
      </c>
      <c r="M39" s="10">
        <f t="shared" si="75"/>
        <v>4.0147058823529411</v>
      </c>
      <c r="N39" s="144">
        <f t="shared" ref="N39" si="97">AVERAGE(J39:J40)</f>
        <v>23830.39080850668</v>
      </c>
      <c r="O39" s="146">
        <f t="shared" ref="O39" si="98">AVERAGE(K39:K40)</f>
        <v>4123.9054336560093</v>
      </c>
      <c r="P39" s="146">
        <f t="shared" ref="P39" si="99">AVERAGE(L39:L40)</f>
        <v>17073.881537129306</v>
      </c>
      <c r="Q39" s="148">
        <f t="shared" ref="Q39" si="100">AVERAGE(M39:M40)</f>
        <v>4.1406862745098039</v>
      </c>
      <c r="R39" s="144">
        <f t="shared" ref="R39" si="101">_xlfn.STDEV.P(J39:J40)</f>
        <v>121.73890579058389</v>
      </c>
      <c r="S39" s="146">
        <f t="shared" ref="S39" si="102">_xlfn.STDEV.P(K39:K40)</f>
        <v>15.217363223822758</v>
      </c>
      <c r="T39" s="146">
        <f t="shared" ref="T39" si="103">_xlfn.STDEV.P(L39:L40)</f>
        <v>456.52089671468639</v>
      </c>
      <c r="U39" s="148">
        <f t="shared" ref="U39" si="104">_xlfn.STDEV.P(M39:M40)</f>
        <v>0.1259803921568623</v>
      </c>
    </row>
    <row r="40" spans="1:21" x14ac:dyDescent="0.25">
      <c r="A40" s="33" t="s">
        <v>70</v>
      </c>
      <c r="B40">
        <v>0.25</v>
      </c>
      <c r="C40">
        <f t="shared" si="71"/>
        <v>0.9739112463246663</v>
      </c>
      <c r="D40">
        <v>40</v>
      </c>
      <c r="E40">
        <v>10</v>
      </c>
      <c r="F40">
        <v>7.7</v>
      </c>
      <c r="G40">
        <v>1.35</v>
      </c>
      <c r="H40">
        <v>5.76</v>
      </c>
      <c r="I40">
        <v>0.68</v>
      </c>
      <c r="J40">
        <f t="shared" si="72"/>
        <v>23708.651902716094</v>
      </c>
      <c r="K40">
        <f t="shared" si="73"/>
        <v>4108.6880704321866</v>
      </c>
      <c r="L40">
        <f t="shared" si="74"/>
        <v>17530.402433843992</v>
      </c>
      <c r="M40" s="10">
        <f t="shared" si="75"/>
        <v>4.2666666666666657</v>
      </c>
      <c r="N40" s="144"/>
      <c r="O40" s="146"/>
      <c r="P40" s="146"/>
      <c r="Q40" s="148"/>
      <c r="R40" s="144"/>
      <c r="S40" s="146"/>
      <c r="T40" s="146"/>
      <c r="U40" s="148"/>
    </row>
    <row r="41" spans="1:21" x14ac:dyDescent="0.25">
      <c r="A41" s="33" t="s">
        <v>72</v>
      </c>
      <c r="B41">
        <v>0.25</v>
      </c>
      <c r="C41">
        <f t="shared" si="71"/>
        <v>0.9739112463246663</v>
      </c>
      <c r="D41">
        <v>40</v>
      </c>
      <c r="E41">
        <v>10</v>
      </c>
      <c r="F41">
        <v>7.1</v>
      </c>
      <c r="G41">
        <v>1.26</v>
      </c>
      <c r="H41">
        <v>5.48</v>
      </c>
      <c r="I41">
        <v>0.5</v>
      </c>
      <c r="J41">
        <f t="shared" si="72"/>
        <v>22034.741948095576</v>
      </c>
      <c r="K41">
        <f t="shared" si="73"/>
        <v>3834.7755324033737</v>
      </c>
      <c r="L41">
        <f t="shared" si="74"/>
        <v>16678.23009330991</v>
      </c>
      <c r="M41" s="10">
        <f t="shared" si="75"/>
        <v>4.3492063492063489</v>
      </c>
      <c r="N41" s="144">
        <f>AVERAGE(J41:J42)</f>
        <v>22628.219113824671</v>
      </c>
      <c r="O41" s="146">
        <f t="shared" ref="O41" si="105">AVERAGE(K41:K42)</f>
        <v>3758.6887162842595</v>
      </c>
      <c r="P41" s="146">
        <f t="shared" ref="P41" si="106">AVERAGE(L41:L42)</f>
        <v>16343.448102385806</v>
      </c>
      <c r="Q41" s="148">
        <f t="shared" ref="Q41" si="107">AVERAGE(M41:M42)</f>
        <v>4.3481568936114385</v>
      </c>
      <c r="R41" s="144">
        <f>_xlfn.STDEV.P(J41:J42)</f>
        <v>593.47716572909303</v>
      </c>
      <c r="S41" s="146">
        <f t="shared" ref="S41" si="108">_xlfn.STDEV.P(K41:K42)</f>
        <v>76.086816119114474</v>
      </c>
      <c r="T41" s="146">
        <f t="shared" ref="T41" si="109">_xlfn.STDEV.P(L41:L42)</f>
        <v>334.78199092410432</v>
      </c>
      <c r="U41" s="148">
        <f t="shared" ref="U41" si="110">_xlfn.STDEV.P(M41:M42)</f>
        <v>1.0494555949103201E-3</v>
      </c>
    </row>
    <row r="42" spans="1:21" ht="15.75" thickBot="1" x14ac:dyDescent="0.3">
      <c r="A42" s="34" t="s">
        <v>73</v>
      </c>
      <c r="B42" s="18">
        <v>0.25</v>
      </c>
      <c r="C42" s="18">
        <f t="shared" si="71"/>
        <v>0.9739112463246663</v>
      </c>
      <c r="D42" s="18">
        <v>40</v>
      </c>
      <c r="E42" s="18">
        <v>10</v>
      </c>
      <c r="F42" s="18">
        <v>7.4</v>
      </c>
      <c r="G42" s="18">
        <v>1.21</v>
      </c>
      <c r="H42" s="18">
        <v>5.26</v>
      </c>
      <c r="I42" s="18">
        <v>1.1599999999999999</v>
      </c>
      <c r="J42" s="18">
        <f t="shared" si="72"/>
        <v>23221.696279553762</v>
      </c>
      <c r="K42" s="18">
        <f t="shared" si="73"/>
        <v>3682.6019001651448</v>
      </c>
      <c r="L42" s="18">
        <f t="shared" si="74"/>
        <v>16008.666111461702</v>
      </c>
      <c r="M42" s="20">
        <f t="shared" si="75"/>
        <v>4.3471074380165282</v>
      </c>
      <c r="N42" s="145"/>
      <c r="O42" s="147"/>
      <c r="P42" s="147"/>
      <c r="Q42" s="149"/>
      <c r="R42" s="145"/>
      <c r="S42" s="147"/>
      <c r="T42" s="147"/>
      <c r="U42" s="149"/>
    </row>
    <row r="43" spans="1:21" ht="15.75" thickBot="1" x14ac:dyDescent="0.3">
      <c r="F43" t="s">
        <v>108</v>
      </c>
    </row>
    <row r="44" spans="1:21" x14ac:dyDescent="0.25">
      <c r="A44" s="30"/>
      <c r="B44" s="31" t="s">
        <v>118</v>
      </c>
      <c r="C44" s="31" t="s">
        <v>119</v>
      </c>
      <c r="D44" s="31" t="s">
        <v>120</v>
      </c>
      <c r="E44" s="32" t="s">
        <v>121</v>
      </c>
      <c r="F44" s="31" t="s">
        <v>118</v>
      </c>
      <c r="G44" s="31" t="s">
        <v>119</v>
      </c>
      <c r="H44" s="31" t="s">
        <v>120</v>
      </c>
      <c r="I44" s="32" t="s">
        <v>121</v>
      </c>
    </row>
    <row r="45" spans="1:21" x14ac:dyDescent="0.25">
      <c r="A45" s="33" t="s">
        <v>84</v>
      </c>
      <c r="B45">
        <f>N31</f>
        <v>26584.733552018628</v>
      </c>
      <c r="C45">
        <f t="shared" ref="C45" si="111">O31</f>
        <v>11595.630776553058</v>
      </c>
      <c r="D45">
        <f t="shared" ref="D45" si="112">P31</f>
        <v>14106.495708483841</v>
      </c>
      <c r="E45" s="10">
        <f>Q31</f>
        <v>1.1714378842150275</v>
      </c>
      <c r="F45">
        <f>R31</f>
        <v>6589.1182759153262</v>
      </c>
      <c r="G45">
        <f t="shared" ref="G45" si="113">S31</f>
        <v>1521.7363223822804</v>
      </c>
      <c r="H45">
        <f t="shared" ref="H45" si="114">T31</f>
        <v>5767.3806618288845</v>
      </c>
      <c r="I45" s="10">
        <f>U31</f>
        <v>0.3436433222814923</v>
      </c>
    </row>
    <row r="46" spans="1:21" x14ac:dyDescent="0.25">
      <c r="A46" s="33" t="s">
        <v>85</v>
      </c>
      <c r="B46">
        <f>N33</f>
        <v>12813.019834458893</v>
      </c>
      <c r="C46">
        <f t="shared" ref="C46" si="115">O33</f>
        <v>4093.4707072083629</v>
      </c>
      <c r="D46">
        <f t="shared" ref="D46" si="116">P33</f>
        <v>7502.1600693446953</v>
      </c>
      <c r="E46" s="10">
        <f>Q33</f>
        <v>1.8765032902201044</v>
      </c>
      <c r="F46">
        <f>R33</f>
        <v>882.60706698172999</v>
      </c>
      <c r="G46">
        <f t="shared" ref="G46" si="117">S33</f>
        <v>654.34661862438759</v>
      </c>
      <c r="H46">
        <f t="shared" ref="H46" si="118">T33</f>
        <v>106.52154256675931</v>
      </c>
      <c r="I46" s="10">
        <f>U33</f>
        <v>0.27393918765600228</v>
      </c>
    </row>
    <row r="47" spans="1:21" x14ac:dyDescent="0.25">
      <c r="A47" s="33" t="s">
        <v>86</v>
      </c>
      <c r="B47">
        <f>N35</f>
        <v>10789.110525690445</v>
      </c>
      <c r="C47">
        <f t="shared" ref="C47" si="119">O35</f>
        <v>2876.0816493025304</v>
      </c>
      <c r="D47">
        <f t="shared" ref="D47" si="120">P35</f>
        <v>6665.2050920344354</v>
      </c>
      <c r="E47" s="10">
        <f>Q35</f>
        <v>2.3490534144692359</v>
      </c>
      <c r="F47">
        <f>R35</f>
        <v>167.39099546205307</v>
      </c>
      <c r="G47">
        <f t="shared" ref="G47" si="121">S35</f>
        <v>228.26044835734388</v>
      </c>
      <c r="H47">
        <f t="shared" ref="H47" si="122">T35</f>
        <v>608.69452895291624</v>
      </c>
      <c r="I47" s="10">
        <f>U35</f>
        <v>0.39807302231237335</v>
      </c>
    </row>
    <row r="48" spans="1:21" x14ac:dyDescent="0.25">
      <c r="A48" s="33" t="s">
        <v>87</v>
      </c>
      <c r="B48">
        <f>N37</f>
        <v>30419.509084422003</v>
      </c>
      <c r="C48">
        <f t="shared" ref="C48" si="123">O37</f>
        <v>9921.7208219325385</v>
      </c>
      <c r="D48">
        <f t="shared" ref="D48" si="124">P37</f>
        <v>19341.268657478922</v>
      </c>
      <c r="E48" s="10">
        <f>Q37</f>
        <v>1.948288525825133</v>
      </c>
      <c r="F48">
        <f>R37</f>
        <v>1202.1716946820088</v>
      </c>
      <c r="G48">
        <f t="shared" ref="G48" si="125">S37</f>
        <v>273.91253802881329</v>
      </c>
      <c r="H48">
        <f t="shared" ref="H48" si="126">T37</f>
        <v>928.25915665319917</v>
      </c>
      <c r="I48" s="10">
        <f>U37</f>
        <v>3.977117566740429E-2</v>
      </c>
    </row>
    <row r="49" spans="1:21" x14ac:dyDescent="0.25">
      <c r="A49" s="33" t="s">
        <v>88</v>
      </c>
      <c r="B49">
        <f>N39</f>
        <v>23830.39080850668</v>
      </c>
      <c r="C49">
        <f t="shared" ref="C49" si="127">O39</f>
        <v>4123.9054336560093</v>
      </c>
      <c r="D49">
        <f t="shared" ref="D49" si="128">P39</f>
        <v>17073.881537129306</v>
      </c>
      <c r="E49" s="10">
        <f>Q39</f>
        <v>4.1406862745098039</v>
      </c>
      <c r="F49">
        <f>R39</f>
        <v>121.73890579058389</v>
      </c>
      <c r="G49">
        <f t="shared" ref="G49" si="129">S39</f>
        <v>15.217363223822758</v>
      </c>
      <c r="H49">
        <f t="shared" ref="H49" si="130">T39</f>
        <v>456.52089671468639</v>
      </c>
      <c r="I49" s="10">
        <f>U39</f>
        <v>0.1259803921568623</v>
      </c>
    </row>
    <row r="50" spans="1:21" ht="15.75" thickBot="1" x14ac:dyDescent="0.3">
      <c r="A50" s="34" t="s">
        <v>89</v>
      </c>
      <c r="B50" s="18">
        <f>N41</f>
        <v>22628.219113824671</v>
      </c>
      <c r="C50" s="18">
        <f t="shared" ref="C50" si="131">O41</f>
        <v>3758.6887162842595</v>
      </c>
      <c r="D50" s="18">
        <f t="shared" ref="D50" si="132">P41</f>
        <v>16343.448102385806</v>
      </c>
      <c r="E50" s="20">
        <f>Q41</f>
        <v>4.3481568936114385</v>
      </c>
      <c r="F50" s="18">
        <f>R41</f>
        <v>593.47716572909303</v>
      </c>
      <c r="G50" s="18">
        <f t="shared" ref="G50" si="133">S41</f>
        <v>76.086816119114474</v>
      </c>
      <c r="H50" s="18">
        <f t="shared" ref="H50" si="134">T41</f>
        <v>334.78199092410432</v>
      </c>
      <c r="I50" s="20">
        <f>U41</f>
        <v>1.0494555949103201E-3</v>
      </c>
    </row>
    <row r="51" spans="1:21" ht="15.75" thickBot="1" x14ac:dyDescent="0.3"/>
    <row r="52" spans="1:21" ht="15.75" thickBot="1" x14ac:dyDescent="0.3">
      <c r="A52" t="s">
        <v>123</v>
      </c>
      <c r="N52" s="150" t="s">
        <v>39</v>
      </c>
      <c r="O52" s="151"/>
      <c r="P52" s="151"/>
      <c r="Q52" s="152"/>
      <c r="R52" s="150" t="s">
        <v>221</v>
      </c>
      <c r="S52" s="151"/>
      <c r="T52" s="151"/>
      <c r="U52" s="152"/>
    </row>
    <row r="53" spans="1:21" x14ac:dyDescent="0.25">
      <c r="A53" s="30" t="s">
        <v>109</v>
      </c>
      <c r="B53" s="31" t="s">
        <v>110</v>
      </c>
      <c r="C53" s="31" t="s">
        <v>111</v>
      </c>
      <c r="D53" s="31" t="s">
        <v>112</v>
      </c>
      <c r="E53" s="31" t="s">
        <v>113</v>
      </c>
      <c r="F53" s="31" t="s">
        <v>114</v>
      </c>
      <c r="G53" s="31" t="s">
        <v>115</v>
      </c>
      <c r="H53" s="31" t="s">
        <v>116</v>
      </c>
      <c r="I53" s="31" t="s">
        <v>117</v>
      </c>
      <c r="J53" s="31" t="s">
        <v>118</v>
      </c>
      <c r="K53" s="31" t="s">
        <v>119</v>
      </c>
      <c r="L53" s="31" t="s">
        <v>120</v>
      </c>
      <c r="M53" s="31" t="s">
        <v>121</v>
      </c>
      <c r="N53" s="30" t="s">
        <v>118</v>
      </c>
      <c r="O53" s="31" t="s">
        <v>119</v>
      </c>
      <c r="P53" s="31" t="s">
        <v>120</v>
      </c>
      <c r="Q53" s="32" t="s">
        <v>121</v>
      </c>
      <c r="R53" s="30" t="s">
        <v>118</v>
      </c>
      <c r="S53" s="31" t="s">
        <v>119</v>
      </c>
      <c r="T53" s="31" t="s">
        <v>120</v>
      </c>
      <c r="U53" s="32" t="s">
        <v>121</v>
      </c>
    </row>
    <row r="54" spans="1:21" x14ac:dyDescent="0.25">
      <c r="A54" s="33" t="s">
        <v>57</v>
      </c>
      <c r="B54">
        <v>0.25</v>
      </c>
      <c r="C54">
        <f>$E$5</f>
        <v>0.9739112463246663</v>
      </c>
      <c r="D54">
        <v>40</v>
      </c>
      <c r="E54">
        <v>10</v>
      </c>
      <c r="F54">
        <v>9.8000000000000007</v>
      </c>
      <c r="G54">
        <v>3.83</v>
      </c>
      <c r="H54">
        <v>1.42</v>
      </c>
      <c r="I54">
        <v>0.34</v>
      </c>
      <c r="J54">
        <f>(G54+H54+I54)*B54*C54*50000*E54/D54</f>
        <v>17013.012084234015</v>
      </c>
      <c r="K54">
        <f>G54*B54*C54*E54*50000/D54</f>
        <v>11656.500229448349</v>
      </c>
      <c r="L54">
        <f>H54*B54*C54*E54*50000/D54</f>
        <v>4321.7311555657061</v>
      </c>
      <c r="M54">
        <f>L54/K54</f>
        <v>0.37075718015665793</v>
      </c>
      <c r="N54" s="144">
        <f>AVERAGE(J54:J55)</f>
        <v>18945.617213659523</v>
      </c>
      <c r="O54" s="146">
        <f>AVERAGE(K54:K55)</f>
        <v>12280.41212162509</v>
      </c>
      <c r="P54" s="146">
        <f t="shared" ref="P54" si="135">AVERAGE(L54:L55)</f>
        <v>5630.4243928144761</v>
      </c>
      <c r="Q54" s="148">
        <f t="shared" ref="Q54" si="136">AVERAGE(M54:M55)</f>
        <v>0.45424651460663079</v>
      </c>
      <c r="R54" s="144">
        <f>_xlfn.STDEV.P(J54:J55)</f>
        <v>1932.6051294255212</v>
      </c>
      <c r="S54" s="146">
        <f t="shared" ref="S54" si="137">_xlfn.STDEV.P(K54:K55)</f>
        <v>623.91189217673946</v>
      </c>
      <c r="T54" s="146">
        <f t="shared" ref="T54" si="138">_xlfn.STDEV.P(L54:L55)</f>
        <v>1308.6932372487709</v>
      </c>
      <c r="U54" s="148">
        <f t="shared" ref="U54" si="139">_xlfn.STDEV.P(M54:M55)</f>
        <v>8.3489334449972891E-2</v>
      </c>
    </row>
    <row r="55" spans="1:21" x14ac:dyDescent="0.25">
      <c r="A55" s="33" t="s">
        <v>58</v>
      </c>
      <c r="B55">
        <v>0.25</v>
      </c>
      <c r="C55">
        <f t="shared" ref="C55:C65" si="140">$E$5</f>
        <v>0.9739112463246663</v>
      </c>
      <c r="D55">
        <v>40</v>
      </c>
      <c r="E55">
        <v>10</v>
      </c>
      <c r="F55">
        <v>9.8000000000000007</v>
      </c>
      <c r="G55">
        <v>4.24</v>
      </c>
      <c r="H55">
        <v>2.2799999999999998</v>
      </c>
      <c r="I55">
        <v>0.34</v>
      </c>
      <c r="J55">
        <f>(G55+H55+I55)*B55*C55*50000*E55/D55</f>
        <v>20878.222343085032</v>
      </c>
      <c r="K55">
        <f t="shared" ref="K55:K65" si="141">G55*B55*C55*E55*50000/D55</f>
        <v>12904.324013801828</v>
      </c>
      <c r="L55">
        <f t="shared" ref="L55:L65" si="142">H55*B55*C55*E55*50000/D55</f>
        <v>6939.117630063246</v>
      </c>
      <c r="M55">
        <f t="shared" ref="M55:M65" si="143">L55/K55</f>
        <v>0.53773584905660365</v>
      </c>
      <c r="N55" s="144"/>
      <c r="O55" s="146"/>
      <c r="P55" s="146"/>
      <c r="Q55" s="148"/>
      <c r="R55" s="144"/>
      <c r="S55" s="146"/>
      <c r="T55" s="146"/>
      <c r="U55" s="148"/>
    </row>
    <row r="56" spans="1:21" x14ac:dyDescent="0.25">
      <c r="A56" s="33" t="s">
        <v>60</v>
      </c>
      <c r="B56">
        <v>0.25</v>
      </c>
      <c r="C56">
        <f t="shared" si="140"/>
        <v>0.9739112463246663</v>
      </c>
      <c r="D56">
        <v>40</v>
      </c>
      <c r="E56">
        <v>10</v>
      </c>
      <c r="F56">
        <v>7.1</v>
      </c>
      <c r="G56">
        <v>1.27</v>
      </c>
      <c r="H56">
        <v>2.72</v>
      </c>
      <c r="I56">
        <v>0.52</v>
      </c>
      <c r="J56">
        <f t="shared" ref="J56:J65" si="144">(G56+H56+I56)*B56*C56*50000*E56/D56</f>
        <v>13726.061627888263</v>
      </c>
      <c r="K56">
        <f t="shared" si="141"/>
        <v>3865.2102588510197</v>
      </c>
      <c r="L56">
        <f t="shared" si="142"/>
        <v>8278.2455937596642</v>
      </c>
      <c r="M56">
        <f t="shared" si="143"/>
        <v>2.1417322834645671</v>
      </c>
      <c r="N56" s="144">
        <f t="shared" ref="N56" si="145">AVERAGE(J56:J57)</f>
        <v>13619.540085321503</v>
      </c>
      <c r="O56" s="146">
        <f t="shared" ref="O56" si="146">AVERAGE(K56:K57)</f>
        <v>3667.3845369413211</v>
      </c>
      <c r="P56" s="146">
        <f t="shared" ref="P56" si="147">AVERAGE(L56:L57)</f>
        <v>8369.5497731026007</v>
      </c>
      <c r="Q56" s="148">
        <f t="shared" ref="Q56" si="148">AVERAGE(M56:M57)</f>
        <v>2.2901643873463184</v>
      </c>
      <c r="R56" s="144">
        <f t="shared" ref="R56" si="149">_xlfn.STDEV.P(J56:J57)</f>
        <v>106.52154256675931</v>
      </c>
      <c r="S56" s="146">
        <f t="shared" ref="S56" si="150">_xlfn.STDEV.P(K56:K57)</f>
        <v>197.82572190969836</v>
      </c>
      <c r="T56" s="146">
        <f t="shared" ref="T56" si="151">_xlfn.STDEV.P(L56:L57)</f>
        <v>91.30417934293655</v>
      </c>
      <c r="U56" s="148">
        <f t="shared" ref="U56" si="152">_xlfn.STDEV.P(M56:M57)</f>
        <v>0.14843210388175154</v>
      </c>
    </row>
    <row r="57" spans="1:21" x14ac:dyDescent="0.25">
      <c r="A57" s="33" t="s">
        <v>61</v>
      </c>
      <c r="B57">
        <v>0.25</v>
      </c>
      <c r="C57">
        <f t="shared" si="140"/>
        <v>0.9739112463246663</v>
      </c>
      <c r="D57">
        <v>40</v>
      </c>
      <c r="E57">
        <v>10</v>
      </c>
      <c r="F57">
        <v>7.1</v>
      </c>
      <c r="G57">
        <v>1.1399999999999999</v>
      </c>
      <c r="H57">
        <v>2.78</v>
      </c>
      <c r="I57">
        <v>0.52</v>
      </c>
      <c r="J57">
        <f t="shared" si="144"/>
        <v>13513.018542754744</v>
      </c>
      <c r="K57">
        <f t="shared" si="141"/>
        <v>3469.558815031623</v>
      </c>
      <c r="L57">
        <f t="shared" si="142"/>
        <v>8460.8539524455373</v>
      </c>
      <c r="M57">
        <f t="shared" si="143"/>
        <v>2.4385964912280702</v>
      </c>
      <c r="N57" s="144"/>
      <c r="O57" s="146"/>
      <c r="P57" s="146"/>
      <c r="Q57" s="148"/>
      <c r="R57" s="144"/>
      <c r="S57" s="146"/>
      <c r="T57" s="146"/>
      <c r="U57" s="148"/>
    </row>
    <row r="58" spans="1:21" x14ac:dyDescent="0.25">
      <c r="A58" s="33" t="s">
        <v>63</v>
      </c>
      <c r="B58">
        <v>0.25</v>
      </c>
      <c r="C58">
        <f t="shared" si="140"/>
        <v>0.9739112463246663</v>
      </c>
      <c r="D58">
        <v>40</v>
      </c>
      <c r="E58">
        <v>10</v>
      </c>
      <c r="F58">
        <v>6.3</v>
      </c>
      <c r="G58">
        <v>0.33</v>
      </c>
      <c r="H58">
        <v>2.99</v>
      </c>
      <c r="I58">
        <v>0.46</v>
      </c>
      <c r="J58">
        <f t="shared" si="144"/>
        <v>11504.326597210122</v>
      </c>
      <c r="K58">
        <f t="shared" si="141"/>
        <v>1004.3459727723123</v>
      </c>
      <c r="L58">
        <f t="shared" si="142"/>
        <v>9099.9832078461004</v>
      </c>
      <c r="M58">
        <f t="shared" si="143"/>
        <v>9.0606060606060588</v>
      </c>
      <c r="N58" s="144">
        <f t="shared" ref="N58" si="153">AVERAGE(J58:J59)</f>
        <v>11078.240426943081</v>
      </c>
      <c r="O58" s="146">
        <f t="shared" ref="O58" si="154">AVERAGE(K58:K59)</f>
        <v>867.38970375790586</v>
      </c>
      <c r="P58" s="146">
        <f t="shared" ref="P58" si="155">AVERAGE(L58:L59)</f>
        <v>8658.6796743552368</v>
      </c>
      <c r="Q58" s="148">
        <f t="shared" ref="Q58" si="156">AVERAGE(M58:M59)</f>
        <v>10.155303030303031</v>
      </c>
      <c r="R58" s="144">
        <f t="shared" ref="R58" si="157">_xlfn.STDEV.P(J58:J59)</f>
        <v>426.08617026704184</v>
      </c>
      <c r="S58" s="146">
        <f t="shared" ref="S58" si="158">_xlfn.STDEV.P(K58:K59)</f>
        <v>136.95626901440659</v>
      </c>
      <c r="T58" s="146">
        <f t="shared" ref="T58" si="159">_xlfn.STDEV.P(L58:L59)</f>
        <v>441.30353349086363</v>
      </c>
      <c r="U58" s="148">
        <f t="shared" ref="U58" si="160">_xlfn.STDEV.P(M58:M59)</f>
        <v>1.0946969696969751</v>
      </c>
    </row>
    <row r="59" spans="1:21" x14ac:dyDescent="0.25">
      <c r="A59" s="33" t="s">
        <v>64</v>
      </c>
      <c r="B59">
        <v>0.25</v>
      </c>
      <c r="C59">
        <f t="shared" si="140"/>
        <v>0.9739112463246663</v>
      </c>
      <c r="D59">
        <v>40</v>
      </c>
      <c r="E59">
        <v>10</v>
      </c>
      <c r="F59">
        <v>6</v>
      </c>
      <c r="G59">
        <v>0.24</v>
      </c>
      <c r="H59">
        <v>2.7</v>
      </c>
      <c r="I59">
        <v>0.56000000000000005</v>
      </c>
      <c r="J59">
        <f t="shared" si="144"/>
        <v>10652.154256676038</v>
      </c>
      <c r="K59">
        <f t="shared" si="141"/>
        <v>730.43343474349956</v>
      </c>
      <c r="L59">
        <f t="shared" si="142"/>
        <v>8217.3761408643732</v>
      </c>
      <c r="M59">
        <f t="shared" si="143"/>
        <v>11.250000000000004</v>
      </c>
      <c r="N59" s="144"/>
      <c r="O59" s="146"/>
      <c r="P59" s="146"/>
      <c r="Q59" s="148"/>
      <c r="R59" s="144"/>
      <c r="S59" s="146"/>
      <c r="T59" s="146"/>
      <c r="U59" s="148"/>
    </row>
    <row r="60" spans="1:21" x14ac:dyDescent="0.25">
      <c r="A60" s="33" t="s">
        <v>66</v>
      </c>
      <c r="B60">
        <v>0.25</v>
      </c>
      <c r="C60">
        <f t="shared" si="140"/>
        <v>0.9739112463246663</v>
      </c>
      <c r="D60">
        <v>40</v>
      </c>
      <c r="E60">
        <v>10</v>
      </c>
      <c r="F60">
        <v>9.9</v>
      </c>
      <c r="G60">
        <v>3.57</v>
      </c>
      <c r="H60">
        <v>5.82</v>
      </c>
      <c r="I60">
        <v>0.68</v>
      </c>
      <c r="J60">
        <f t="shared" si="144"/>
        <v>30647.769532779341</v>
      </c>
      <c r="K60">
        <f t="shared" si="141"/>
        <v>10865.197341809559</v>
      </c>
      <c r="L60">
        <f t="shared" si="142"/>
        <v>17713.010792529869</v>
      </c>
      <c r="M60">
        <f t="shared" si="143"/>
        <v>1.6302521008403361</v>
      </c>
      <c r="N60" s="144">
        <f t="shared" ref="N60" si="161">AVERAGE(J60:J61)</f>
        <v>31043.42097659874</v>
      </c>
      <c r="O60" s="146">
        <f t="shared" ref="O60" si="162">AVERAGE(K60:K61)</f>
        <v>10347.806992199579</v>
      </c>
      <c r="P60" s="146">
        <f>AVERAGE(L60:L61)</f>
        <v>18291.270595035137</v>
      </c>
      <c r="Q60" s="148">
        <f t="shared" ref="Q60" si="163">AVERAGE(M60:M61)</f>
        <v>1.7748783724015922</v>
      </c>
      <c r="R60" s="144">
        <f t="shared" ref="R60" si="164">_xlfn.STDEV.P(J60:J61)</f>
        <v>395.65144381939717</v>
      </c>
      <c r="S60" s="146">
        <f t="shared" ref="S60" si="165">_xlfn.STDEV.P(K60:K61)</f>
        <v>517.39034960997924</v>
      </c>
      <c r="T60" s="146">
        <f>_xlfn.STDEV.P(L60:L61)</f>
        <v>578.25980250527027</v>
      </c>
      <c r="U60" s="148">
        <f>_xlfn.STDEV.P(M60:M61)</f>
        <v>0.14462627156125607</v>
      </c>
    </row>
    <row r="61" spans="1:21" x14ac:dyDescent="0.25">
      <c r="A61" s="33" t="s">
        <v>67</v>
      </c>
      <c r="B61">
        <v>0.25</v>
      </c>
      <c r="C61">
        <f t="shared" si="140"/>
        <v>0.9739112463246663</v>
      </c>
      <c r="D61">
        <v>40</v>
      </c>
      <c r="E61">
        <v>10</v>
      </c>
      <c r="F61">
        <v>9.8000000000000007</v>
      </c>
      <c r="G61">
        <v>3.23</v>
      </c>
      <c r="H61">
        <v>6.2</v>
      </c>
      <c r="I61">
        <v>0.9</v>
      </c>
      <c r="J61">
        <f t="shared" si="144"/>
        <v>31439.072420418135</v>
      </c>
      <c r="K61">
        <f t="shared" si="141"/>
        <v>9830.4166425896001</v>
      </c>
      <c r="L61">
        <f t="shared" si="142"/>
        <v>18869.530397540409</v>
      </c>
      <c r="M61">
        <f t="shared" si="143"/>
        <v>1.9195046439628483</v>
      </c>
      <c r="N61" s="144"/>
      <c r="O61" s="146"/>
      <c r="P61" s="146"/>
      <c r="Q61" s="148"/>
      <c r="R61" s="144"/>
      <c r="S61" s="146"/>
      <c r="T61" s="146"/>
      <c r="U61" s="148"/>
    </row>
    <row r="62" spans="1:21" x14ac:dyDescent="0.25">
      <c r="A62" s="33" t="s">
        <v>69</v>
      </c>
      <c r="B62">
        <v>0.25</v>
      </c>
      <c r="C62">
        <f t="shared" si="140"/>
        <v>0.9739112463246663</v>
      </c>
      <c r="D62">
        <v>40</v>
      </c>
      <c r="E62">
        <v>10</v>
      </c>
      <c r="F62">
        <v>7.1</v>
      </c>
      <c r="G62">
        <v>1.26</v>
      </c>
      <c r="H62">
        <v>5.78</v>
      </c>
      <c r="I62">
        <v>0.68</v>
      </c>
      <c r="J62">
        <f t="shared" si="144"/>
        <v>23495.608817582575</v>
      </c>
      <c r="K62">
        <f t="shared" si="141"/>
        <v>3834.7755324033737</v>
      </c>
      <c r="L62">
        <f t="shared" si="142"/>
        <v>17591.271886739283</v>
      </c>
      <c r="M62">
        <f t="shared" si="143"/>
        <v>4.587301587301587</v>
      </c>
      <c r="N62" s="144">
        <f t="shared" ref="N62" si="166">AVERAGE(J62:J63)</f>
        <v>22156.480853886162</v>
      </c>
      <c r="O62" s="146">
        <f t="shared" ref="O62" si="167">AVERAGE(K62:K63)</f>
        <v>4063.0359807607174</v>
      </c>
      <c r="P62" s="146">
        <f t="shared" ref="P62" si="168">AVERAGE(L62:L63)</f>
        <v>15232.580587046734</v>
      </c>
      <c r="Q62" s="148">
        <f t="shared" ref="Q62" si="169">AVERAGE(M62:M63)</f>
        <v>3.7936507936507935</v>
      </c>
      <c r="R62" s="144">
        <f t="shared" ref="R62" si="170">_xlfn.STDEV.P(J62:J63)</f>
        <v>1339.1279636964155</v>
      </c>
      <c r="S62" s="146">
        <f t="shared" ref="S62" si="171">_xlfn.STDEV.P(K62:K63)</f>
        <v>228.26044835734342</v>
      </c>
      <c r="T62" s="146">
        <f t="shared" ref="T62" si="172">_xlfn.STDEV.P(L62:L63)</f>
        <v>2358.6912996925471</v>
      </c>
      <c r="U62" s="148">
        <f t="shared" ref="U62" si="173">_xlfn.STDEV.P(M62:M63)</f>
        <v>0.7936507936507935</v>
      </c>
    </row>
    <row r="63" spans="1:21" x14ac:dyDescent="0.25">
      <c r="A63" s="33" t="s">
        <v>70</v>
      </c>
      <c r="B63">
        <v>0.25</v>
      </c>
      <c r="C63">
        <f t="shared" si="140"/>
        <v>0.9739112463246663</v>
      </c>
      <c r="D63">
        <v>40</v>
      </c>
      <c r="E63">
        <v>10</v>
      </c>
      <c r="F63">
        <v>7.4</v>
      </c>
      <c r="G63">
        <v>1.41</v>
      </c>
      <c r="H63">
        <v>4.2300000000000004</v>
      </c>
      <c r="I63">
        <v>1.2</v>
      </c>
      <c r="J63">
        <f t="shared" si="144"/>
        <v>20817.352890189744</v>
      </c>
      <c r="K63">
        <f t="shared" si="141"/>
        <v>4291.2964291180606</v>
      </c>
      <c r="L63">
        <f t="shared" si="142"/>
        <v>12873.889287354183</v>
      </c>
      <c r="M63">
        <f t="shared" si="143"/>
        <v>3</v>
      </c>
      <c r="N63" s="144"/>
      <c r="O63" s="146"/>
      <c r="P63" s="146"/>
      <c r="Q63" s="148"/>
      <c r="R63" s="144"/>
      <c r="S63" s="146"/>
      <c r="T63" s="146"/>
      <c r="U63" s="148"/>
    </row>
    <row r="64" spans="1:21" x14ac:dyDescent="0.25">
      <c r="A64" s="33" t="s">
        <v>72</v>
      </c>
      <c r="B64">
        <v>0.25</v>
      </c>
      <c r="C64">
        <f t="shared" si="140"/>
        <v>0.9739112463246663</v>
      </c>
      <c r="D64">
        <v>40</v>
      </c>
      <c r="E64">
        <v>10</v>
      </c>
      <c r="F64">
        <v>6.2</v>
      </c>
      <c r="G64">
        <v>0.34</v>
      </c>
      <c r="H64">
        <v>6.67</v>
      </c>
      <c r="I64">
        <v>0.46</v>
      </c>
      <c r="J64">
        <f t="shared" si="144"/>
        <v>22734.740656391426</v>
      </c>
      <c r="K64">
        <f t="shared" si="141"/>
        <v>1034.780699219958</v>
      </c>
      <c r="L64">
        <f t="shared" si="142"/>
        <v>20299.962540579763</v>
      </c>
      <c r="M64">
        <f t="shared" si="143"/>
        <v>19.617647058823529</v>
      </c>
      <c r="N64" s="144">
        <f>AVERAGE(J64:J65)</f>
        <v>23373.86991179199</v>
      </c>
      <c r="O64" s="146">
        <f t="shared" ref="O64" si="174">AVERAGE(K64:K65)</f>
        <v>989.12860954848929</v>
      </c>
      <c r="P64" s="146">
        <f t="shared" ref="P64" si="175">AVERAGE(L64:L65)</f>
        <v>20741.266074070627</v>
      </c>
      <c r="Q64" s="148">
        <f t="shared" ref="Q64" si="176">AVERAGE(M64:M65)</f>
        <v>21.034629981024665</v>
      </c>
      <c r="R64" s="144">
        <f>_xlfn.STDEV.P(J64:J65)</f>
        <v>639.12925540056312</v>
      </c>
      <c r="S64" s="146">
        <f t="shared" ref="S64" si="177">_xlfn.STDEV.P(K64:K65)</f>
        <v>45.652089671468786</v>
      </c>
      <c r="T64" s="146">
        <f t="shared" ref="T64" si="178">_xlfn.STDEV.P(L64:L65)</f>
        <v>441.30353349086363</v>
      </c>
      <c r="U64" s="148">
        <f t="shared" ref="U64" si="179">_xlfn.STDEV.P(M64:M65)</f>
        <v>1.4169829222011376</v>
      </c>
    </row>
    <row r="65" spans="1:21" ht="15.75" thickBot="1" x14ac:dyDescent="0.3">
      <c r="A65" s="34" t="s">
        <v>73</v>
      </c>
      <c r="B65" s="18">
        <v>0.25</v>
      </c>
      <c r="C65" s="18">
        <f t="shared" si="140"/>
        <v>0.9739112463246663</v>
      </c>
      <c r="D65" s="18">
        <v>40</v>
      </c>
      <c r="E65" s="18">
        <v>10</v>
      </c>
      <c r="F65" s="18">
        <v>6.3</v>
      </c>
      <c r="G65" s="18">
        <v>0.31</v>
      </c>
      <c r="H65" s="18">
        <v>6.96</v>
      </c>
      <c r="I65" s="18">
        <v>0.62</v>
      </c>
      <c r="J65" s="18">
        <f t="shared" si="144"/>
        <v>24012.999167192553</v>
      </c>
      <c r="K65" s="18">
        <f t="shared" si="141"/>
        <v>943.47651987702045</v>
      </c>
      <c r="L65" s="18">
        <f t="shared" si="142"/>
        <v>21182.569607561491</v>
      </c>
      <c r="M65" s="18">
        <f t="shared" si="143"/>
        <v>22.451612903225804</v>
      </c>
      <c r="N65" s="145"/>
      <c r="O65" s="147"/>
      <c r="P65" s="147"/>
      <c r="Q65" s="149"/>
      <c r="R65" s="145"/>
      <c r="S65" s="147"/>
      <c r="T65" s="147"/>
      <c r="U65" s="149"/>
    </row>
    <row r="66" spans="1:21" ht="15.75" thickBot="1" x14ac:dyDescent="0.3">
      <c r="B66" t="s">
        <v>124</v>
      </c>
      <c r="F66" t="s">
        <v>221</v>
      </c>
    </row>
    <row r="67" spans="1:21" x14ac:dyDescent="0.25">
      <c r="A67" s="30"/>
      <c r="B67" s="31" t="s">
        <v>118</v>
      </c>
      <c r="C67" s="31" t="s">
        <v>119</v>
      </c>
      <c r="D67" s="31" t="s">
        <v>120</v>
      </c>
      <c r="E67" s="32" t="s">
        <v>121</v>
      </c>
      <c r="F67" s="31" t="s">
        <v>118</v>
      </c>
      <c r="G67" s="31" t="s">
        <v>119</v>
      </c>
      <c r="H67" s="31" t="s">
        <v>120</v>
      </c>
      <c r="I67" s="32" t="s">
        <v>121</v>
      </c>
    </row>
    <row r="68" spans="1:21" x14ac:dyDescent="0.25">
      <c r="A68" s="33" t="s">
        <v>84</v>
      </c>
      <c r="B68">
        <f>N54</f>
        <v>18945.617213659523</v>
      </c>
      <c r="C68">
        <f t="shared" ref="C68" si="180">O54</f>
        <v>12280.41212162509</v>
      </c>
      <c r="D68">
        <f t="shared" ref="D68" si="181">P54</f>
        <v>5630.4243928144761</v>
      </c>
      <c r="E68" s="10">
        <f>Q54</f>
        <v>0.45424651460663079</v>
      </c>
      <c r="F68">
        <f>R54</f>
        <v>1932.6051294255212</v>
      </c>
      <c r="G68">
        <f t="shared" ref="G68" si="182">S54</f>
        <v>623.91189217673946</v>
      </c>
      <c r="H68">
        <f t="shared" ref="H68" si="183">T54</f>
        <v>1308.6932372487709</v>
      </c>
      <c r="I68" s="10">
        <f>U54</f>
        <v>8.3489334449972891E-2</v>
      </c>
    </row>
    <row r="69" spans="1:21" x14ac:dyDescent="0.25">
      <c r="A69" s="33" t="s">
        <v>85</v>
      </c>
      <c r="B69">
        <f>N56</f>
        <v>13619.540085321503</v>
      </c>
      <c r="C69">
        <f t="shared" ref="C69" si="184">O56</f>
        <v>3667.3845369413211</v>
      </c>
      <c r="D69">
        <f t="shared" ref="D69" si="185">P56</f>
        <v>8369.5497731026007</v>
      </c>
      <c r="E69" s="10">
        <f>Q56</f>
        <v>2.2901643873463184</v>
      </c>
      <c r="F69">
        <f>R56</f>
        <v>106.52154256675931</v>
      </c>
      <c r="G69">
        <f t="shared" ref="G69" si="186">S56</f>
        <v>197.82572190969836</v>
      </c>
      <c r="H69">
        <f t="shared" ref="H69" si="187">T56</f>
        <v>91.30417934293655</v>
      </c>
      <c r="I69" s="10">
        <f>U56</f>
        <v>0.14843210388175154</v>
      </c>
    </row>
    <row r="70" spans="1:21" x14ac:dyDescent="0.25">
      <c r="A70" s="33" t="s">
        <v>86</v>
      </c>
      <c r="B70">
        <f>N58</f>
        <v>11078.240426943081</v>
      </c>
      <c r="C70">
        <f t="shared" ref="C70" si="188">O58</f>
        <v>867.38970375790586</v>
      </c>
      <c r="D70">
        <f t="shared" ref="D70" si="189">P58</f>
        <v>8658.6796743552368</v>
      </c>
      <c r="E70" s="10">
        <f>Q58</f>
        <v>10.155303030303031</v>
      </c>
      <c r="F70">
        <f>R58</f>
        <v>426.08617026704184</v>
      </c>
      <c r="G70">
        <f t="shared" ref="G70" si="190">S58</f>
        <v>136.95626901440659</v>
      </c>
      <c r="H70">
        <f t="shared" ref="H70" si="191">T58</f>
        <v>441.30353349086363</v>
      </c>
      <c r="I70" s="10">
        <f>U58</f>
        <v>1.0946969696969751</v>
      </c>
    </row>
    <row r="71" spans="1:21" x14ac:dyDescent="0.25">
      <c r="A71" s="33" t="s">
        <v>87</v>
      </c>
      <c r="B71">
        <f>N60</f>
        <v>31043.42097659874</v>
      </c>
      <c r="C71">
        <f t="shared" ref="C71" si="192">O60</f>
        <v>10347.806992199579</v>
      </c>
      <c r="D71">
        <f t="shared" ref="D71" si="193">P60</f>
        <v>18291.270595035137</v>
      </c>
      <c r="E71" s="10">
        <f>Q60</f>
        <v>1.7748783724015922</v>
      </c>
      <c r="F71">
        <f>R60</f>
        <v>395.65144381939717</v>
      </c>
      <c r="G71">
        <f t="shared" ref="G71" si="194">S60</f>
        <v>517.39034960997924</v>
      </c>
      <c r="H71">
        <f t="shared" ref="H71" si="195">T60</f>
        <v>578.25980250527027</v>
      </c>
      <c r="I71" s="10">
        <f>U60</f>
        <v>0.14462627156125607</v>
      </c>
    </row>
    <row r="72" spans="1:21" x14ac:dyDescent="0.25">
      <c r="A72" s="33" t="s">
        <v>88</v>
      </c>
      <c r="B72">
        <f>N62</f>
        <v>22156.480853886162</v>
      </c>
      <c r="C72">
        <f t="shared" ref="C72" si="196">O62</f>
        <v>4063.0359807607174</v>
      </c>
      <c r="D72">
        <f t="shared" ref="D72" si="197">P62</f>
        <v>15232.580587046734</v>
      </c>
      <c r="E72" s="10">
        <f>Q62</f>
        <v>3.7936507936507935</v>
      </c>
      <c r="F72">
        <f>R62</f>
        <v>1339.1279636964155</v>
      </c>
      <c r="G72">
        <f t="shared" ref="G72" si="198">S62</f>
        <v>228.26044835734342</v>
      </c>
      <c r="H72">
        <f t="shared" ref="H72" si="199">T62</f>
        <v>2358.6912996925471</v>
      </c>
      <c r="I72" s="10">
        <f>U62</f>
        <v>0.7936507936507935</v>
      </c>
    </row>
    <row r="73" spans="1:21" ht="15.75" thickBot="1" x14ac:dyDescent="0.3">
      <c r="A73" s="34" t="s">
        <v>89</v>
      </c>
      <c r="B73" s="18">
        <f>N64</f>
        <v>23373.86991179199</v>
      </c>
      <c r="C73" s="18">
        <f t="shared" ref="C73" si="200">O64</f>
        <v>989.12860954848929</v>
      </c>
      <c r="D73" s="18">
        <f t="shared" ref="D73" si="201">P64</f>
        <v>20741.266074070627</v>
      </c>
      <c r="E73" s="20">
        <f>Q64</f>
        <v>21.034629981024665</v>
      </c>
      <c r="F73" s="18">
        <f>R64</f>
        <v>639.12925540056312</v>
      </c>
      <c r="G73" s="18">
        <f t="shared" ref="G73" si="202">S64</f>
        <v>45.652089671468786</v>
      </c>
      <c r="H73" s="18">
        <f t="shared" ref="H73" si="203">T64</f>
        <v>441.30353349086363</v>
      </c>
      <c r="I73" s="20">
        <f>U64</f>
        <v>1.4169829222011376</v>
      </c>
    </row>
    <row r="74" spans="1:21" ht="15.75" thickBot="1" x14ac:dyDescent="0.3"/>
    <row r="75" spans="1:21" ht="15.75" thickBot="1" x14ac:dyDescent="0.3">
      <c r="A75" t="s">
        <v>125</v>
      </c>
      <c r="N75" s="150" t="s">
        <v>39</v>
      </c>
      <c r="O75" s="151"/>
      <c r="P75" s="151"/>
      <c r="Q75" s="152"/>
      <c r="R75" s="150" t="s">
        <v>221</v>
      </c>
      <c r="S75" s="151"/>
      <c r="T75" s="151"/>
      <c r="U75" s="152"/>
    </row>
    <row r="76" spans="1:21" x14ac:dyDescent="0.25">
      <c r="A76" s="30" t="s">
        <v>109</v>
      </c>
      <c r="B76" s="31" t="s">
        <v>110</v>
      </c>
      <c r="C76" s="31" t="s">
        <v>111</v>
      </c>
      <c r="D76" s="31" t="s">
        <v>112</v>
      </c>
      <c r="E76" s="31" t="s">
        <v>113</v>
      </c>
      <c r="F76" s="31" t="s">
        <v>114</v>
      </c>
      <c r="G76" s="31" t="s">
        <v>115</v>
      </c>
      <c r="H76" s="31" t="s">
        <v>116</v>
      </c>
      <c r="I76" s="31" t="s">
        <v>117</v>
      </c>
      <c r="J76" s="31" t="s">
        <v>118</v>
      </c>
      <c r="K76" s="31" t="s">
        <v>119</v>
      </c>
      <c r="L76" s="31" t="s">
        <v>120</v>
      </c>
      <c r="M76" s="31" t="s">
        <v>121</v>
      </c>
      <c r="N76" s="30" t="s">
        <v>118</v>
      </c>
      <c r="O76" s="31" t="s">
        <v>119</v>
      </c>
      <c r="P76" s="31" t="s">
        <v>120</v>
      </c>
      <c r="Q76" s="32" t="s">
        <v>121</v>
      </c>
      <c r="R76" s="30" t="s">
        <v>118</v>
      </c>
      <c r="S76" s="31" t="s">
        <v>119</v>
      </c>
      <c r="T76" s="31" t="s">
        <v>120</v>
      </c>
      <c r="U76" s="32" t="s">
        <v>121</v>
      </c>
    </row>
    <row r="77" spans="1:21" x14ac:dyDescent="0.25">
      <c r="A77" s="33" t="s">
        <v>57</v>
      </c>
      <c r="B77">
        <v>0.25</v>
      </c>
      <c r="C77">
        <f>$E$5</f>
        <v>0.9739112463246663</v>
      </c>
      <c r="D77">
        <v>40</v>
      </c>
      <c r="E77">
        <v>10</v>
      </c>
      <c r="F77">
        <v>9.9</v>
      </c>
      <c r="G77">
        <v>4.18</v>
      </c>
      <c r="H77">
        <v>3.12</v>
      </c>
      <c r="I77">
        <v>0.42</v>
      </c>
      <c r="J77">
        <f t="shared" ref="J77:J88" si="204">(G77+H77+I77)*B77*C77*50000*E77/D77</f>
        <v>23495.608817582575</v>
      </c>
      <c r="K77">
        <f t="shared" ref="K77:K88" si="205">G77*B77*C77*E77*50000/D77</f>
        <v>12721.715655115953</v>
      </c>
      <c r="L77">
        <f t="shared" ref="L77:L88" si="206">H77*B77*C77*E77*50000/D77</f>
        <v>9495.6346516654976</v>
      </c>
      <c r="M77">
        <f>L77/K77</f>
        <v>0.74641148325358864</v>
      </c>
      <c r="N77" s="144">
        <f>AVERAGE(J77:J78)</f>
        <v>20482.570899265636</v>
      </c>
      <c r="O77" s="146">
        <f>AVERAGE(K77:K78)</f>
        <v>11656.500229448349</v>
      </c>
      <c r="P77" s="146">
        <f t="shared" ref="P77" si="207">AVERAGE(L77:L78)</f>
        <v>7882.5941499402688</v>
      </c>
      <c r="Q77" s="148">
        <f t="shared" ref="Q77" si="208">AVERAGE(M77:M78)</f>
        <v>0.66918275312104725</v>
      </c>
      <c r="R77" s="144">
        <f>_xlfn.STDEV.P(J77:J78)</f>
        <v>3013.0379183169416</v>
      </c>
      <c r="S77" s="146">
        <f t="shared" ref="S77" si="209">_xlfn.STDEV.P(K77:K78)</f>
        <v>1065.215425667604</v>
      </c>
      <c r="T77" s="146">
        <f t="shared" ref="T77" si="210">_xlfn.STDEV.P(L77:L78)</f>
        <v>1613.0405017252303</v>
      </c>
      <c r="U77" s="148">
        <f t="shared" ref="U77" si="211">_xlfn.STDEV.P(M77:M78)</f>
        <v>7.7228730132541432E-2</v>
      </c>
    </row>
    <row r="78" spans="1:21" x14ac:dyDescent="0.25">
      <c r="A78" s="33" t="s">
        <v>58</v>
      </c>
      <c r="B78">
        <v>0.25</v>
      </c>
      <c r="C78">
        <f t="shared" ref="C78:C88" si="212">$E$5</f>
        <v>0.9739112463246663</v>
      </c>
      <c r="D78">
        <v>40</v>
      </c>
      <c r="E78">
        <v>10</v>
      </c>
      <c r="F78">
        <v>9.9</v>
      </c>
      <c r="G78">
        <v>3.48</v>
      </c>
      <c r="H78">
        <v>2.06</v>
      </c>
      <c r="I78">
        <v>0.2</v>
      </c>
      <c r="J78">
        <f t="shared" si="204"/>
        <v>17469.532980948701</v>
      </c>
      <c r="K78">
        <f t="shared" si="205"/>
        <v>10591.284803780745</v>
      </c>
      <c r="L78">
        <f t="shared" si="206"/>
        <v>6269.5536482150401</v>
      </c>
      <c r="M78">
        <f t="shared" ref="M78:M88" si="213">L78/K78</f>
        <v>0.59195402298850586</v>
      </c>
      <c r="N78" s="144"/>
      <c r="O78" s="146"/>
      <c r="P78" s="146"/>
      <c r="Q78" s="148"/>
      <c r="R78" s="144"/>
      <c r="S78" s="146"/>
      <c r="T78" s="146"/>
      <c r="U78" s="148"/>
    </row>
    <row r="79" spans="1:21" x14ac:dyDescent="0.25">
      <c r="A79" s="33" t="s">
        <v>60</v>
      </c>
      <c r="B79">
        <v>0.25</v>
      </c>
      <c r="C79">
        <f t="shared" si="212"/>
        <v>0.9739112463246663</v>
      </c>
      <c r="D79">
        <v>40</v>
      </c>
      <c r="E79">
        <v>10</v>
      </c>
      <c r="F79">
        <v>6.8</v>
      </c>
      <c r="G79">
        <v>1.1399999999999999</v>
      </c>
      <c r="H79">
        <v>3.88</v>
      </c>
      <c r="I79">
        <v>0.3</v>
      </c>
      <c r="J79">
        <f t="shared" si="204"/>
        <v>16191.274470147579</v>
      </c>
      <c r="K79">
        <f t="shared" si="205"/>
        <v>3469.558815031623</v>
      </c>
      <c r="L79">
        <f t="shared" si="206"/>
        <v>11808.673861686579</v>
      </c>
      <c r="M79">
        <f t="shared" si="213"/>
        <v>3.4035087719298254</v>
      </c>
      <c r="N79" s="144">
        <f t="shared" ref="N79" si="214">AVERAGE(J79:J80)</f>
        <v>15719.536210209068</v>
      </c>
      <c r="O79" s="146">
        <f t="shared" ref="O79" si="215">AVERAGE(K79:K80)</f>
        <v>3713.0366266127894</v>
      </c>
      <c r="P79" s="146">
        <f t="shared" ref="P79" si="216">AVERAGE(L79:L80)</f>
        <v>10910.849431481027</v>
      </c>
      <c r="Q79" s="148">
        <f t="shared" ref="Q79" si="217">AVERAGE(M79:M80)</f>
        <v>2.967139001349528</v>
      </c>
      <c r="R79" s="144">
        <f t="shared" ref="R79" si="218">_xlfn.STDEV.P(J79:J80)</f>
        <v>471.73825993851096</v>
      </c>
      <c r="S79" s="146">
        <f t="shared" ref="S79" si="219">_xlfn.STDEV.P(K79:K80)</f>
        <v>243.47781158116663</v>
      </c>
      <c r="T79" s="146">
        <f t="shared" ref="T79" si="220">_xlfn.STDEV.P(L79:L80)</f>
        <v>897.82443020555183</v>
      </c>
      <c r="U79" s="148">
        <f t="shared" ref="U79" si="221">_xlfn.STDEV.P(M79:M80)</f>
        <v>0.43636977058029863</v>
      </c>
    </row>
    <row r="80" spans="1:21" x14ac:dyDescent="0.25">
      <c r="A80" s="33" t="s">
        <v>61</v>
      </c>
      <c r="B80">
        <v>0.25</v>
      </c>
      <c r="C80">
        <f t="shared" si="212"/>
        <v>0.9739112463246663</v>
      </c>
      <c r="D80">
        <v>40</v>
      </c>
      <c r="E80">
        <v>10</v>
      </c>
      <c r="F80">
        <v>7</v>
      </c>
      <c r="G80">
        <v>1.3</v>
      </c>
      <c r="H80">
        <v>3.29</v>
      </c>
      <c r="I80">
        <v>0.42</v>
      </c>
      <c r="J80">
        <f t="shared" si="204"/>
        <v>15247.797950270557</v>
      </c>
      <c r="K80">
        <f t="shared" si="205"/>
        <v>3956.5144381939563</v>
      </c>
      <c r="L80">
        <f t="shared" si="206"/>
        <v>10013.025001275475</v>
      </c>
      <c r="M80">
        <f t="shared" si="213"/>
        <v>2.5307692307692311</v>
      </c>
      <c r="N80" s="144"/>
      <c r="O80" s="146"/>
      <c r="P80" s="146"/>
      <c r="Q80" s="148"/>
      <c r="R80" s="144"/>
      <c r="S80" s="146"/>
      <c r="T80" s="146"/>
      <c r="U80" s="148"/>
    </row>
    <row r="81" spans="1:21" x14ac:dyDescent="0.25">
      <c r="A81" s="33" t="s">
        <v>63</v>
      </c>
      <c r="B81">
        <v>0.25</v>
      </c>
      <c r="C81">
        <f t="shared" si="212"/>
        <v>0.9739112463246663</v>
      </c>
      <c r="D81">
        <v>40</v>
      </c>
      <c r="E81">
        <v>10</v>
      </c>
      <c r="F81">
        <v>6.9</v>
      </c>
      <c r="G81">
        <v>0.59</v>
      </c>
      <c r="H81">
        <v>3.11</v>
      </c>
      <c r="I81">
        <v>0.36</v>
      </c>
      <c r="J81">
        <f t="shared" si="204"/>
        <v>12356.498937744202</v>
      </c>
      <c r="K81">
        <f t="shared" si="205"/>
        <v>1795.6488604111032</v>
      </c>
      <c r="L81">
        <f t="shared" si="206"/>
        <v>9465.1999252178503</v>
      </c>
      <c r="M81">
        <f t="shared" si="213"/>
        <v>5.2711864406779672</v>
      </c>
      <c r="N81" s="144">
        <f t="shared" ref="N81" si="222">AVERAGE(J81:J82)</f>
        <v>12599.976749325369</v>
      </c>
      <c r="O81" s="146">
        <f t="shared" ref="O81" si="223">AVERAGE(K81:K82)</f>
        <v>2647.8212009451859</v>
      </c>
      <c r="P81" s="146">
        <f t="shared" ref="P81" si="224">AVERAGE(L81:L82)</f>
        <v>8856.5053962649345</v>
      </c>
      <c r="Q81" s="148">
        <f t="shared" ref="Q81" si="225">AVERAGE(M81:M82)</f>
        <v>3.8138540899042015</v>
      </c>
      <c r="R81" s="144">
        <f t="shared" ref="R81" si="226">_xlfn.STDEV.P(J81:J82)</f>
        <v>243.47781158116777</v>
      </c>
      <c r="S81" s="146">
        <f t="shared" ref="S81" si="227">_xlfn.STDEV.P(K81:K82)</f>
        <v>852.17234053408265</v>
      </c>
      <c r="T81" s="146">
        <f t="shared" ref="T81" si="228">_xlfn.STDEV.P(L81:L82)</f>
        <v>608.69452895291579</v>
      </c>
      <c r="U81" s="148">
        <f t="shared" ref="U81" si="229">_xlfn.STDEV.P(M81:M82)</f>
        <v>1.4573323507737659</v>
      </c>
    </row>
    <row r="82" spans="1:21" x14ac:dyDescent="0.25">
      <c r="A82" s="33" t="s">
        <v>64</v>
      </c>
      <c r="B82">
        <v>0.25</v>
      </c>
      <c r="C82">
        <f t="shared" si="212"/>
        <v>0.9739112463246663</v>
      </c>
      <c r="D82">
        <v>40</v>
      </c>
      <c r="E82">
        <v>10</v>
      </c>
      <c r="F82">
        <v>6.9</v>
      </c>
      <c r="G82">
        <v>1.1499999999999999</v>
      </c>
      <c r="H82">
        <v>2.71</v>
      </c>
      <c r="I82">
        <v>0.36</v>
      </c>
      <c r="J82">
        <f t="shared" si="204"/>
        <v>12843.454560906537</v>
      </c>
      <c r="K82">
        <f t="shared" si="205"/>
        <v>3499.9935414792685</v>
      </c>
      <c r="L82">
        <f t="shared" si="206"/>
        <v>8247.8108673120187</v>
      </c>
      <c r="M82">
        <f t="shared" si="213"/>
        <v>2.3565217391304358</v>
      </c>
      <c r="N82" s="144"/>
      <c r="O82" s="146"/>
      <c r="P82" s="146"/>
      <c r="Q82" s="148"/>
      <c r="R82" s="144"/>
      <c r="S82" s="146"/>
      <c r="T82" s="146"/>
      <c r="U82" s="148"/>
    </row>
    <row r="83" spans="1:21" x14ac:dyDescent="0.25">
      <c r="A83" s="33" t="s">
        <v>66</v>
      </c>
      <c r="B83">
        <v>0.25</v>
      </c>
      <c r="C83">
        <f t="shared" si="212"/>
        <v>0.9739112463246663</v>
      </c>
      <c r="D83">
        <v>40</v>
      </c>
      <c r="E83">
        <v>10</v>
      </c>
      <c r="F83">
        <v>9.9</v>
      </c>
      <c r="G83">
        <v>3.31</v>
      </c>
      <c r="H83">
        <v>3.25</v>
      </c>
      <c r="I83">
        <v>2.54</v>
      </c>
      <c r="J83">
        <f t="shared" si="204"/>
        <v>27695.601067357704</v>
      </c>
      <c r="K83">
        <f t="shared" si="205"/>
        <v>10073.89445417077</v>
      </c>
      <c r="L83">
        <f t="shared" si="206"/>
        <v>9891.2860954848911</v>
      </c>
      <c r="M83">
        <f t="shared" si="213"/>
        <v>0.98187311178247694</v>
      </c>
      <c r="N83" s="144">
        <f t="shared" ref="N83" si="230">AVERAGE(J83:J84)</f>
        <v>34315.154069720666</v>
      </c>
      <c r="O83" s="146">
        <f t="shared" ref="O83" si="231">AVERAGE(K83:K84)</f>
        <v>12569.542022877726</v>
      </c>
      <c r="P83" s="146">
        <f>AVERAGE(L83:L84)</f>
        <v>16997.794721010192</v>
      </c>
      <c r="Q83" s="148">
        <f t="shared" ref="Q83" si="232">AVERAGE(M83:M84)</f>
        <v>1.2909365558912382</v>
      </c>
      <c r="R83" s="144">
        <f t="shared" ref="R83" si="233">_xlfn.STDEV.P(J83:J84)</f>
        <v>6619.5530023629781</v>
      </c>
      <c r="S83" s="146">
        <f t="shared" ref="S83" si="234">_xlfn.STDEV.P(K83:K84)</f>
        <v>2495.6475687069619</v>
      </c>
      <c r="T83" s="146">
        <f>_xlfn.STDEV.P(L83:L84)</f>
        <v>7106.5086255252982</v>
      </c>
      <c r="U83" s="148">
        <f>_xlfn.STDEV.P(M83:M84)</f>
        <v>0.30906344410876141</v>
      </c>
    </row>
    <row r="84" spans="1:21" x14ac:dyDescent="0.25">
      <c r="A84" s="33" t="s">
        <v>67</v>
      </c>
      <c r="B84">
        <v>0.25</v>
      </c>
      <c r="C84">
        <f t="shared" si="212"/>
        <v>0.9739112463246663</v>
      </c>
      <c r="D84">
        <v>40</v>
      </c>
      <c r="E84">
        <v>10</v>
      </c>
      <c r="F84">
        <v>9.8000000000000007</v>
      </c>
      <c r="G84">
        <v>4.95</v>
      </c>
      <c r="H84">
        <v>7.92</v>
      </c>
      <c r="I84">
        <v>0.57999999999999996</v>
      </c>
      <c r="J84">
        <f t="shared" si="204"/>
        <v>40934.707072083635</v>
      </c>
      <c r="K84">
        <f t="shared" si="205"/>
        <v>15065.189591584684</v>
      </c>
      <c r="L84">
        <f t="shared" si="206"/>
        <v>24104.303346535489</v>
      </c>
      <c r="M84">
        <f t="shared" si="213"/>
        <v>1.5999999999999996</v>
      </c>
      <c r="N84" s="144"/>
      <c r="O84" s="146"/>
      <c r="P84" s="146"/>
      <c r="Q84" s="148"/>
      <c r="R84" s="144"/>
      <c r="S84" s="146"/>
      <c r="T84" s="146"/>
      <c r="U84" s="148"/>
    </row>
    <row r="85" spans="1:21" x14ac:dyDescent="0.25">
      <c r="A85" s="33" t="s">
        <v>69</v>
      </c>
      <c r="B85">
        <v>0.25</v>
      </c>
      <c r="C85">
        <f t="shared" si="212"/>
        <v>0.9739112463246663</v>
      </c>
      <c r="D85">
        <v>40</v>
      </c>
      <c r="E85">
        <v>10</v>
      </c>
      <c r="F85">
        <v>6.8</v>
      </c>
      <c r="G85">
        <v>1.58</v>
      </c>
      <c r="H85">
        <v>6.92</v>
      </c>
      <c r="I85">
        <v>0.36</v>
      </c>
      <c r="J85">
        <f t="shared" si="204"/>
        <v>26965.167632614197</v>
      </c>
      <c r="K85">
        <f t="shared" si="205"/>
        <v>4808.6867787280398</v>
      </c>
      <c r="L85">
        <f t="shared" si="206"/>
        <v>21060.830701770908</v>
      </c>
      <c r="M85">
        <f t="shared" si="213"/>
        <v>4.3797468354430382</v>
      </c>
      <c r="N85" s="144">
        <f t="shared" ref="N85" si="235">AVERAGE(J85:J86)</f>
        <v>28076.035147953269</v>
      </c>
      <c r="O85" s="146">
        <f t="shared" ref="O85" si="236">AVERAGE(K85:K86)</f>
        <v>4747.8173258327479</v>
      </c>
      <c r="P85" s="146">
        <f t="shared" ref="P85" si="237">AVERAGE(L85:L86)</f>
        <v>20863.004979861209</v>
      </c>
      <c r="Q85" s="148">
        <f t="shared" ref="Q85" si="238">AVERAGE(M85:M86)</f>
        <v>4.3944188722669733</v>
      </c>
      <c r="R85" s="144">
        <f t="shared" ref="R85" si="239">_xlfn.STDEV.P(J85:J86)</f>
        <v>1110.8675153390723</v>
      </c>
      <c r="S85" s="146">
        <f t="shared" ref="S85" si="240">_xlfn.STDEV.P(K85:K86)</f>
        <v>60.869452895291488</v>
      </c>
      <c r="T85" s="146">
        <f t="shared" ref="T85" si="241">_xlfn.STDEV.P(L85:L86)</f>
        <v>197.82572190969768</v>
      </c>
      <c r="U85" s="148">
        <f t="shared" ref="U85" si="242">_xlfn.STDEV.P(M85:M86)</f>
        <v>1.4672036823935475E-2</v>
      </c>
    </row>
    <row r="86" spans="1:21" x14ac:dyDescent="0.25">
      <c r="A86" s="33" t="s">
        <v>70</v>
      </c>
      <c r="B86">
        <v>0.25</v>
      </c>
      <c r="C86">
        <f t="shared" si="212"/>
        <v>0.9739112463246663</v>
      </c>
      <c r="D86">
        <v>40</v>
      </c>
      <c r="E86">
        <v>10</v>
      </c>
      <c r="F86">
        <v>7</v>
      </c>
      <c r="G86">
        <v>1.54</v>
      </c>
      <c r="H86">
        <v>6.79</v>
      </c>
      <c r="I86">
        <v>1.26</v>
      </c>
      <c r="J86">
        <f t="shared" si="204"/>
        <v>29186.902663292341</v>
      </c>
      <c r="K86">
        <f t="shared" si="205"/>
        <v>4686.9478729374569</v>
      </c>
      <c r="L86">
        <f t="shared" si="206"/>
        <v>20665.179257951513</v>
      </c>
      <c r="M86">
        <f t="shared" si="213"/>
        <v>4.4090909090909092</v>
      </c>
      <c r="N86" s="144"/>
      <c r="O86" s="146"/>
      <c r="P86" s="146"/>
      <c r="Q86" s="148"/>
      <c r="R86" s="144"/>
      <c r="S86" s="146"/>
      <c r="T86" s="146"/>
      <c r="U86" s="148"/>
    </row>
    <row r="87" spans="1:21" x14ac:dyDescent="0.25">
      <c r="A87" s="33" t="s">
        <v>72</v>
      </c>
      <c r="B87">
        <v>0.25</v>
      </c>
      <c r="C87">
        <f t="shared" si="212"/>
        <v>0.9739112463246663</v>
      </c>
      <c r="D87">
        <v>40</v>
      </c>
      <c r="E87">
        <v>10</v>
      </c>
      <c r="F87">
        <v>6.7</v>
      </c>
      <c r="G87">
        <v>0.46</v>
      </c>
      <c r="H87">
        <v>5.84</v>
      </c>
      <c r="I87">
        <v>0.64</v>
      </c>
      <c r="J87">
        <f t="shared" si="204"/>
        <v>21121.7001546662</v>
      </c>
      <c r="K87">
        <f t="shared" si="205"/>
        <v>1399.9974165917079</v>
      </c>
      <c r="L87">
        <f t="shared" si="206"/>
        <v>17773.880245425156</v>
      </c>
      <c r="M87">
        <f t="shared" si="213"/>
        <v>12.695652173913041</v>
      </c>
      <c r="N87" s="144">
        <f>AVERAGE(J87:J88)</f>
        <v>22415.176028691149</v>
      </c>
      <c r="O87" s="146">
        <f t="shared" ref="O87" si="243">AVERAGE(K87:K88)</f>
        <v>1476.0842327108226</v>
      </c>
      <c r="P87" s="146">
        <f t="shared" ref="P87" si="244">AVERAGE(L87:L88)</f>
        <v>18321.705321482783</v>
      </c>
      <c r="Q87" s="148">
        <f t="shared" ref="Q87" si="245">AVERAGE(M87:M88)</f>
        <v>12.426257459505539</v>
      </c>
      <c r="R87" s="144">
        <f>_xlfn.STDEV.P(J87:J88)</f>
        <v>1293.475874024949</v>
      </c>
      <c r="S87" s="146">
        <f t="shared" ref="S87" si="246">_xlfn.STDEV.P(K87:K88)</f>
        <v>76.086816119114587</v>
      </c>
      <c r="T87" s="146">
        <f t="shared" ref="T87" si="247">_xlfn.STDEV.P(L87:L88)</f>
        <v>547.82507605762657</v>
      </c>
      <c r="U87" s="148">
        <f t="shared" ref="U87" si="248">_xlfn.STDEV.P(M87:M88)</f>
        <v>0.26939471440750129</v>
      </c>
    </row>
    <row r="88" spans="1:21" ht="15.75" thickBot="1" x14ac:dyDescent="0.3">
      <c r="A88" s="34" t="s">
        <v>73</v>
      </c>
      <c r="B88" s="18">
        <v>0.25</v>
      </c>
      <c r="C88" s="18">
        <f t="shared" si="212"/>
        <v>0.9739112463246663</v>
      </c>
      <c r="D88" s="18">
        <v>40</v>
      </c>
      <c r="E88" s="18">
        <v>10</v>
      </c>
      <c r="F88" s="18">
        <v>6.7</v>
      </c>
      <c r="G88" s="18">
        <v>0.51</v>
      </c>
      <c r="H88" s="18">
        <v>6.2</v>
      </c>
      <c r="I88" s="18">
        <v>1.08</v>
      </c>
      <c r="J88" s="18">
        <f t="shared" si="204"/>
        <v>23708.651902716098</v>
      </c>
      <c r="K88" s="18">
        <f t="shared" si="205"/>
        <v>1552.171048829937</v>
      </c>
      <c r="L88" s="18">
        <f t="shared" si="206"/>
        <v>18869.530397540409</v>
      </c>
      <c r="M88" s="18">
        <f t="shared" si="213"/>
        <v>12.156862745098039</v>
      </c>
      <c r="N88" s="145"/>
      <c r="O88" s="147"/>
      <c r="P88" s="147"/>
      <c r="Q88" s="149"/>
      <c r="R88" s="145"/>
      <c r="S88" s="147"/>
      <c r="T88" s="147"/>
      <c r="U88" s="149"/>
    </row>
    <row r="89" spans="1:21" ht="15.75" thickBot="1" x14ac:dyDescent="0.3">
      <c r="B89" s="2" t="s">
        <v>124</v>
      </c>
      <c r="F89" s="2" t="s">
        <v>221</v>
      </c>
    </row>
    <row r="90" spans="1:21" x14ac:dyDescent="0.25">
      <c r="A90" s="30"/>
      <c r="B90" s="31" t="s">
        <v>118</v>
      </c>
      <c r="C90" s="31" t="s">
        <v>119</v>
      </c>
      <c r="D90" s="31" t="s">
        <v>120</v>
      </c>
      <c r="E90" s="32" t="s">
        <v>121</v>
      </c>
      <c r="F90" s="31" t="s">
        <v>118</v>
      </c>
      <c r="G90" s="31" t="s">
        <v>119</v>
      </c>
      <c r="H90" s="31" t="s">
        <v>120</v>
      </c>
      <c r="I90" s="32" t="s">
        <v>121</v>
      </c>
    </row>
    <row r="91" spans="1:21" x14ac:dyDescent="0.25">
      <c r="A91" s="33" t="s">
        <v>84</v>
      </c>
      <c r="B91">
        <f>N77</f>
        <v>20482.570899265636</v>
      </c>
      <c r="C91">
        <f t="shared" ref="C91" si="249">O77</f>
        <v>11656.500229448349</v>
      </c>
      <c r="D91">
        <f t="shared" ref="D91" si="250">P77</f>
        <v>7882.5941499402688</v>
      </c>
      <c r="E91" s="10">
        <f>Q77</f>
        <v>0.66918275312104725</v>
      </c>
      <c r="F91">
        <f>R77</f>
        <v>3013.0379183169416</v>
      </c>
      <c r="G91">
        <f t="shared" ref="G91" si="251">S77</f>
        <v>1065.215425667604</v>
      </c>
      <c r="H91">
        <f t="shared" ref="H91" si="252">T77</f>
        <v>1613.0405017252303</v>
      </c>
      <c r="I91" s="10">
        <f>U77</f>
        <v>7.7228730132541432E-2</v>
      </c>
    </row>
    <row r="92" spans="1:21" x14ac:dyDescent="0.25">
      <c r="A92" s="33" t="s">
        <v>85</v>
      </c>
      <c r="B92">
        <f>N79</f>
        <v>15719.536210209068</v>
      </c>
      <c r="C92">
        <f t="shared" ref="C92" si="253">O79</f>
        <v>3713.0366266127894</v>
      </c>
      <c r="D92">
        <f t="shared" ref="D92" si="254">P79</f>
        <v>10910.849431481027</v>
      </c>
      <c r="E92" s="10">
        <f>Q79</f>
        <v>2.967139001349528</v>
      </c>
      <c r="F92">
        <f>R79</f>
        <v>471.73825993851096</v>
      </c>
      <c r="G92">
        <f t="shared" ref="G92" si="255">S79</f>
        <v>243.47781158116663</v>
      </c>
      <c r="H92">
        <f t="shared" ref="H92" si="256">T79</f>
        <v>897.82443020555183</v>
      </c>
      <c r="I92" s="10">
        <f>U79</f>
        <v>0.43636977058029863</v>
      </c>
    </row>
    <row r="93" spans="1:21" x14ac:dyDescent="0.25">
      <c r="A93" s="33" t="s">
        <v>86</v>
      </c>
      <c r="B93">
        <f>N81</f>
        <v>12599.976749325369</v>
      </c>
      <c r="C93">
        <f t="shared" ref="C93" si="257">O81</f>
        <v>2647.8212009451859</v>
      </c>
      <c r="D93">
        <f t="shared" ref="D93" si="258">P81</f>
        <v>8856.5053962649345</v>
      </c>
      <c r="E93" s="10">
        <f>Q81</f>
        <v>3.8138540899042015</v>
      </c>
      <c r="F93">
        <f>R81</f>
        <v>243.47781158116777</v>
      </c>
      <c r="G93">
        <f t="shared" ref="G93" si="259">S81</f>
        <v>852.17234053408265</v>
      </c>
      <c r="H93">
        <f t="shared" ref="H93" si="260">T81</f>
        <v>608.69452895291579</v>
      </c>
      <c r="I93" s="10">
        <f>U81</f>
        <v>1.4573323507737659</v>
      </c>
    </row>
    <row r="94" spans="1:21" x14ac:dyDescent="0.25">
      <c r="A94" s="33" t="s">
        <v>87</v>
      </c>
      <c r="B94">
        <f>N83</f>
        <v>34315.154069720666</v>
      </c>
      <c r="C94">
        <f t="shared" ref="C94" si="261">O83</f>
        <v>12569.542022877726</v>
      </c>
      <c r="D94">
        <f t="shared" ref="D94" si="262">P83</f>
        <v>16997.794721010192</v>
      </c>
      <c r="E94" s="10">
        <f>Q83</f>
        <v>1.2909365558912382</v>
      </c>
      <c r="F94">
        <f>R83</f>
        <v>6619.5530023629781</v>
      </c>
      <c r="G94">
        <f t="shared" ref="G94" si="263">S83</f>
        <v>2495.6475687069619</v>
      </c>
      <c r="H94">
        <f t="shared" ref="H94" si="264">T83</f>
        <v>7106.5086255252982</v>
      </c>
      <c r="I94" s="10">
        <f>U83</f>
        <v>0.30906344410876141</v>
      </c>
    </row>
    <row r="95" spans="1:21" x14ac:dyDescent="0.25">
      <c r="A95" s="33" t="s">
        <v>88</v>
      </c>
      <c r="B95">
        <f>N85</f>
        <v>28076.035147953269</v>
      </c>
      <c r="C95">
        <f t="shared" ref="C95" si="265">O85</f>
        <v>4747.8173258327479</v>
      </c>
      <c r="D95">
        <f t="shared" ref="D95" si="266">P85</f>
        <v>20863.004979861209</v>
      </c>
      <c r="E95" s="10">
        <f>Q85</f>
        <v>4.3944188722669733</v>
      </c>
      <c r="F95">
        <f>R85</f>
        <v>1110.8675153390723</v>
      </c>
      <c r="G95">
        <f t="shared" ref="G95" si="267">S85</f>
        <v>60.869452895291488</v>
      </c>
      <c r="H95">
        <f t="shared" ref="H95" si="268">T85</f>
        <v>197.82572190969768</v>
      </c>
      <c r="I95" s="10">
        <f>U85</f>
        <v>1.4672036823935475E-2</v>
      </c>
    </row>
    <row r="96" spans="1:21" ht="15.75" thickBot="1" x14ac:dyDescent="0.3">
      <c r="A96" s="34" t="s">
        <v>89</v>
      </c>
      <c r="B96" s="18">
        <f>N87</f>
        <v>22415.176028691149</v>
      </c>
      <c r="C96" s="18">
        <f t="shared" ref="C96" si="269">O87</f>
        <v>1476.0842327108226</v>
      </c>
      <c r="D96" s="18">
        <f t="shared" ref="D96" si="270">P87</f>
        <v>18321.705321482783</v>
      </c>
      <c r="E96" s="20">
        <f>Q87</f>
        <v>12.426257459505539</v>
      </c>
      <c r="F96" s="18">
        <f>R87</f>
        <v>1293.475874024949</v>
      </c>
      <c r="G96" s="18">
        <f t="shared" ref="G96" si="271">S87</f>
        <v>76.086816119114587</v>
      </c>
      <c r="H96" s="18">
        <f t="shared" ref="H96" si="272">T87</f>
        <v>547.82507605762657</v>
      </c>
      <c r="I96" s="20">
        <f>U87</f>
        <v>0.26939471440750129</v>
      </c>
    </row>
    <row r="98" spans="1:17" x14ac:dyDescent="0.25">
      <c r="A98" s="42" t="s">
        <v>126</v>
      </c>
    </row>
    <row r="99" spans="1:17" x14ac:dyDescent="0.25">
      <c r="A99" s="2" t="s">
        <v>127</v>
      </c>
      <c r="G99" s="2" t="s">
        <v>128</v>
      </c>
      <c r="M99" s="2" t="s">
        <v>129</v>
      </c>
    </row>
    <row r="100" spans="1:17" ht="15.75" thickBot="1" x14ac:dyDescent="0.3">
      <c r="A100" s="2"/>
      <c r="G100" s="2"/>
      <c r="M100" s="2"/>
    </row>
    <row r="101" spans="1:17" x14ac:dyDescent="0.25">
      <c r="A101" s="30" t="s">
        <v>130</v>
      </c>
      <c r="B101" s="31">
        <v>2</v>
      </c>
      <c r="C101" s="31">
        <v>4</v>
      </c>
      <c r="D101" s="31">
        <v>6</v>
      </c>
      <c r="E101" s="32">
        <v>8</v>
      </c>
      <c r="G101" s="30" t="s">
        <v>130</v>
      </c>
      <c r="H101" s="31">
        <v>2</v>
      </c>
      <c r="I101" s="31">
        <v>4</v>
      </c>
      <c r="J101" s="31">
        <v>6</v>
      </c>
      <c r="K101" s="32">
        <v>8</v>
      </c>
      <c r="M101" s="30" t="s">
        <v>130</v>
      </c>
      <c r="N101" s="31">
        <v>2</v>
      </c>
      <c r="O101" s="31">
        <v>4</v>
      </c>
      <c r="P101" s="31">
        <v>6</v>
      </c>
      <c r="Q101" s="32">
        <v>8</v>
      </c>
    </row>
    <row r="102" spans="1:17" x14ac:dyDescent="0.25">
      <c r="A102" s="33" t="s">
        <v>84</v>
      </c>
      <c r="B102" s="40">
        <f>B22</f>
        <v>13771.713717559735</v>
      </c>
      <c r="C102">
        <f>B45</f>
        <v>26584.733552018628</v>
      </c>
      <c r="D102" cm="1">
        <f t="array" ref="D102:D107">B68:B73</f>
        <v>18945.617213659523</v>
      </c>
      <c r="E102" s="10" cm="1">
        <f t="array" ref="E102:E107">B91:B96</f>
        <v>20482.570899265636</v>
      </c>
      <c r="G102" s="33" t="s">
        <v>84</v>
      </c>
      <c r="H102" s="40">
        <f>C22</f>
        <v>6528.2488230200288</v>
      </c>
      <c r="I102">
        <f>C45</f>
        <v>11595.630776553058</v>
      </c>
      <c r="J102">
        <f>C68</f>
        <v>12280.41212162509</v>
      </c>
      <c r="K102" s="10">
        <f>C91</f>
        <v>11656.500229448349</v>
      </c>
      <c r="M102" s="33" t="s">
        <v>84</v>
      </c>
      <c r="N102" s="40">
        <f>D22</f>
        <v>6269.5536482150383</v>
      </c>
      <c r="O102">
        <f>D45</f>
        <v>14106.495708483841</v>
      </c>
      <c r="P102">
        <f>D68</f>
        <v>5630.4243928144761</v>
      </c>
      <c r="Q102" s="10">
        <f>D91</f>
        <v>7882.5941499402688</v>
      </c>
    </row>
    <row r="103" spans="1:17" x14ac:dyDescent="0.25">
      <c r="A103" s="33" t="s">
        <v>85</v>
      </c>
      <c r="B103" s="40">
        <f t="shared" ref="B103:B107" si="273">B23</f>
        <v>9845.6340058134228</v>
      </c>
      <c r="C103">
        <f t="shared" ref="C103:C107" si="274">B46</f>
        <v>12813.019834458893</v>
      </c>
      <c r="D103">
        <v>13619.540085321503</v>
      </c>
      <c r="E103" s="10">
        <v>15719.536210209068</v>
      </c>
      <c r="G103" s="33" t="s">
        <v>85</v>
      </c>
      <c r="H103" s="40">
        <f t="shared" ref="H103:H107" si="275">C23</f>
        <v>2282.6044835734365</v>
      </c>
      <c r="I103">
        <f t="shared" ref="I103:I107" si="276">C46</f>
        <v>4093.4707072083629</v>
      </c>
      <c r="J103">
        <f t="shared" ref="J103:J107" si="277">C69</f>
        <v>3667.3845369413211</v>
      </c>
      <c r="K103" s="10">
        <f t="shared" ref="K103:K107" si="278">C92</f>
        <v>3713.0366266127894</v>
      </c>
      <c r="M103" s="33" t="s">
        <v>85</v>
      </c>
      <c r="N103" s="40">
        <f t="shared" ref="N103:N107" si="279">D23</f>
        <v>6254.3362849912155</v>
      </c>
      <c r="O103">
        <f t="shared" ref="O103:O107" si="280">D46</f>
        <v>7502.1600693446953</v>
      </c>
      <c r="P103">
        <f t="shared" ref="P103:P107" si="281">D69</f>
        <v>8369.5497731026007</v>
      </c>
      <c r="Q103" s="10">
        <f t="shared" ref="Q103:Q107" si="282">D92</f>
        <v>10910.849431481027</v>
      </c>
    </row>
    <row r="104" spans="1:17" x14ac:dyDescent="0.25">
      <c r="A104" s="33" t="s">
        <v>86</v>
      </c>
      <c r="B104" s="40">
        <f t="shared" si="273"/>
        <v>8795.6359433696434</v>
      </c>
      <c r="C104">
        <f t="shared" si="274"/>
        <v>10789.110525690445</v>
      </c>
      <c r="D104">
        <v>11078.240426943081</v>
      </c>
      <c r="E104" s="10">
        <v>12599.976749325369</v>
      </c>
      <c r="G104" s="33" t="s">
        <v>86</v>
      </c>
      <c r="H104" s="40">
        <f t="shared" si="275"/>
        <v>1095.6501521152495</v>
      </c>
      <c r="I104">
        <f t="shared" si="276"/>
        <v>2876.0816493025304</v>
      </c>
      <c r="J104">
        <f t="shared" si="277"/>
        <v>867.38970375790586</v>
      </c>
      <c r="K104" s="10">
        <f t="shared" si="278"/>
        <v>2647.8212009451859</v>
      </c>
      <c r="M104" s="33" t="s">
        <v>86</v>
      </c>
      <c r="N104" s="40">
        <f t="shared" si="279"/>
        <v>6239.1189217673937</v>
      </c>
      <c r="O104">
        <f t="shared" si="280"/>
        <v>6665.2050920344354</v>
      </c>
      <c r="P104">
        <f t="shared" si="281"/>
        <v>8658.6796743552368</v>
      </c>
      <c r="Q104" s="10">
        <f t="shared" si="282"/>
        <v>8856.5053962649345</v>
      </c>
    </row>
    <row r="105" spans="1:17" x14ac:dyDescent="0.25">
      <c r="A105" s="33" t="s">
        <v>87</v>
      </c>
      <c r="B105" s="40">
        <f t="shared" si="273"/>
        <v>22263.002396452921</v>
      </c>
      <c r="C105">
        <f t="shared" si="274"/>
        <v>30419.509084422003</v>
      </c>
      <c r="D105">
        <v>31043.42097659874</v>
      </c>
      <c r="E105" s="10">
        <v>34315.154069720666</v>
      </c>
      <c r="G105" s="33" t="s">
        <v>87</v>
      </c>
      <c r="H105" s="40">
        <f t="shared" si="275"/>
        <v>6163.032105648279</v>
      </c>
      <c r="I105">
        <f t="shared" si="276"/>
        <v>9921.7208219325385</v>
      </c>
      <c r="J105">
        <f t="shared" si="277"/>
        <v>10347.806992199579</v>
      </c>
      <c r="K105" s="10">
        <f t="shared" si="278"/>
        <v>12569.542022877726</v>
      </c>
      <c r="M105" s="33" t="s">
        <v>87</v>
      </c>
      <c r="N105" s="40">
        <f t="shared" si="279"/>
        <v>13817.365807231203</v>
      </c>
      <c r="O105">
        <f t="shared" si="280"/>
        <v>19341.268657478922</v>
      </c>
      <c r="P105">
        <f t="shared" si="281"/>
        <v>18291.270595035137</v>
      </c>
      <c r="Q105" s="10">
        <f t="shared" si="282"/>
        <v>16997.794721010192</v>
      </c>
    </row>
    <row r="106" spans="1:17" x14ac:dyDescent="0.25">
      <c r="A106" s="33" t="s">
        <v>88</v>
      </c>
      <c r="B106" s="40">
        <f t="shared" si="273"/>
        <v>17013.012084234015</v>
      </c>
      <c r="C106">
        <f t="shared" si="274"/>
        <v>23830.39080850668</v>
      </c>
      <c r="D106">
        <v>22156.480853886162</v>
      </c>
      <c r="E106" s="10">
        <v>28076.035147953269</v>
      </c>
      <c r="G106" s="33" t="s">
        <v>88</v>
      </c>
      <c r="H106" s="40">
        <f t="shared" si="275"/>
        <v>1826.0835868587492</v>
      </c>
      <c r="I106">
        <f t="shared" si="276"/>
        <v>4123.9054336560093</v>
      </c>
      <c r="J106">
        <f t="shared" si="277"/>
        <v>4063.0359807607174</v>
      </c>
      <c r="K106" s="10">
        <f t="shared" si="278"/>
        <v>4747.8173258327479</v>
      </c>
      <c r="M106" s="33" t="s">
        <v>88</v>
      </c>
      <c r="N106" s="40">
        <f t="shared" si="279"/>
        <v>13695.626901440621</v>
      </c>
      <c r="O106">
        <f t="shared" si="280"/>
        <v>17073.881537129306</v>
      </c>
      <c r="P106">
        <f t="shared" si="281"/>
        <v>15232.580587046734</v>
      </c>
      <c r="Q106" s="10">
        <f t="shared" si="282"/>
        <v>20863.004979861209</v>
      </c>
    </row>
    <row r="107" spans="1:17" ht="15.75" thickBot="1" x14ac:dyDescent="0.3">
      <c r="A107" s="34" t="s">
        <v>89</v>
      </c>
      <c r="B107" s="41">
        <f t="shared" si="273"/>
        <v>16328.230739161983</v>
      </c>
      <c r="C107" s="18">
        <f t="shared" si="274"/>
        <v>22628.219113824671</v>
      </c>
      <c r="D107" s="18">
        <v>23373.86991179199</v>
      </c>
      <c r="E107" s="20">
        <v>22415.176028691149</v>
      </c>
      <c r="G107" s="34" t="s">
        <v>89</v>
      </c>
      <c r="H107" s="41">
        <f t="shared" si="275"/>
        <v>1126.0848785628955</v>
      </c>
      <c r="I107" s="18">
        <f t="shared" si="276"/>
        <v>3758.6887162842595</v>
      </c>
      <c r="J107" s="18">
        <f t="shared" si="277"/>
        <v>989.12860954848929</v>
      </c>
      <c r="K107" s="20">
        <f t="shared" si="278"/>
        <v>1476.0842327108226</v>
      </c>
      <c r="M107" s="34" t="s">
        <v>89</v>
      </c>
      <c r="N107" s="41">
        <f t="shared" si="279"/>
        <v>11367.370328195715</v>
      </c>
      <c r="O107" s="18">
        <f t="shared" si="280"/>
        <v>16343.448102385806</v>
      </c>
      <c r="P107" s="18">
        <f t="shared" si="281"/>
        <v>20741.266074070627</v>
      </c>
      <c r="Q107" s="20">
        <f t="shared" si="282"/>
        <v>18321.705321482783</v>
      </c>
    </row>
    <row r="109" spans="1:17" ht="15.75" thickBot="1" x14ac:dyDescent="0.3">
      <c r="A109" s="2" t="s">
        <v>221</v>
      </c>
    </row>
    <row r="110" spans="1:17" x14ac:dyDescent="0.25">
      <c r="A110" s="30" t="s">
        <v>130</v>
      </c>
      <c r="B110" s="31">
        <v>2</v>
      </c>
      <c r="C110" s="31">
        <v>4</v>
      </c>
      <c r="D110" s="31">
        <v>6</v>
      </c>
      <c r="E110" s="32">
        <v>8</v>
      </c>
      <c r="G110" s="30" t="s">
        <v>130</v>
      </c>
      <c r="H110" s="31">
        <v>2</v>
      </c>
      <c r="I110" s="31">
        <v>4</v>
      </c>
      <c r="J110" s="31">
        <v>6</v>
      </c>
      <c r="K110" s="32">
        <v>8</v>
      </c>
      <c r="M110" s="30" t="s">
        <v>130</v>
      </c>
      <c r="N110" s="31">
        <v>2</v>
      </c>
      <c r="O110" s="31">
        <v>4</v>
      </c>
      <c r="P110" s="31">
        <v>6</v>
      </c>
      <c r="Q110" s="32">
        <v>8</v>
      </c>
    </row>
    <row r="111" spans="1:17" x14ac:dyDescent="0.25">
      <c r="A111" s="33" t="s">
        <v>84</v>
      </c>
      <c r="B111" s="40">
        <f>AVERAGE(F22)</f>
        <v>136.95626901440846</v>
      </c>
      <c r="C111">
        <f>F45</f>
        <v>6589.1182759153262</v>
      </c>
      <c r="D111">
        <f>F68</f>
        <v>1932.6051294255212</v>
      </c>
      <c r="E111" s="10">
        <f>F91</f>
        <v>3013.0379183169416</v>
      </c>
      <c r="G111" s="33" t="s">
        <v>84</v>
      </c>
      <c r="H111" s="40">
        <f>G22</f>
        <v>745.65079796731618</v>
      </c>
      <c r="I111">
        <f>G45</f>
        <v>1521.7363223822804</v>
      </c>
      <c r="J111">
        <f>G68</f>
        <v>623.91189217673946</v>
      </c>
      <c r="K111" s="10">
        <f>G91</f>
        <v>1065.215425667604</v>
      </c>
      <c r="M111" s="33" t="s">
        <v>84</v>
      </c>
      <c r="N111" s="40">
        <f>H22</f>
        <v>730.43343474350399</v>
      </c>
      <c r="O111">
        <f>H45</f>
        <v>5767.3806618288845</v>
      </c>
      <c r="P111">
        <f>H68</f>
        <v>1308.6932372487709</v>
      </c>
      <c r="Q111" s="10">
        <f>H91</f>
        <v>1613.0405017252303</v>
      </c>
    </row>
    <row r="112" spans="1:17" x14ac:dyDescent="0.25">
      <c r="A112" s="33" t="s">
        <v>85</v>
      </c>
      <c r="B112" s="40">
        <f t="shared" ref="B112:B116" si="283">AVERAGE(F23)</f>
        <v>410.86880704321993</v>
      </c>
      <c r="C112">
        <f t="shared" ref="C112:C116" si="284">F46</f>
        <v>882.60706698172999</v>
      </c>
      <c r="D112">
        <f t="shared" ref="D112:D116" si="285">F69</f>
        <v>106.52154256675931</v>
      </c>
      <c r="E112" s="10">
        <f t="shared" ref="E112:E116" si="286">F92</f>
        <v>471.73825993851096</v>
      </c>
      <c r="G112" s="33" t="s">
        <v>85</v>
      </c>
      <c r="H112" s="40">
        <f t="shared" ref="H112:H116" si="287">G23</f>
        <v>486.95562316233401</v>
      </c>
      <c r="I112">
        <f t="shared" ref="I112:I116" si="288">G46</f>
        <v>654.34661862438759</v>
      </c>
      <c r="J112">
        <f t="shared" ref="J112:J116" si="289">G69</f>
        <v>197.82572190969836</v>
      </c>
      <c r="K112" s="10">
        <f t="shared" ref="K112:K116" si="290">G92</f>
        <v>243.47781158116663</v>
      </c>
      <c r="M112" s="33" t="s">
        <v>85</v>
      </c>
      <c r="N112" s="40">
        <f t="shared" ref="N112:N116" si="291">H23</f>
        <v>410.86880704321857</v>
      </c>
      <c r="O112">
        <f t="shared" ref="O112:O116" si="292">H46</f>
        <v>106.52154256675931</v>
      </c>
      <c r="P112">
        <f t="shared" ref="P112:P116" si="293">H69</f>
        <v>91.30417934293655</v>
      </c>
      <c r="Q112" s="10">
        <f t="shared" ref="Q112:Q116" si="294">H92</f>
        <v>897.82443020555183</v>
      </c>
    </row>
    <row r="113" spans="1:17" x14ac:dyDescent="0.25">
      <c r="A113" s="33" t="s">
        <v>86</v>
      </c>
      <c r="B113" s="40">
        <f t="shared" si="283"/>
        <v>213.04308513352044</v>
      </c>
      <c r="C113">
        <f t="shared" si="284"/>
        <v>167.39099546205307</v>
      </c>
      <c r="D113">
        <f t="shared" si="285"/>
        <v>426.08617026704184</v>
      </c>
      <c r="E113" s="10">
        <f t="shared" si="286"/>
        <v>243.47781158116777</v>
      </c>
      <c r="G113" s="33" t="s">
        <v>86</v>
      </c>
      <c r="H113" s="40">
        <f t="shared" si="287"/>
        <v>243.47781158116604</v>
      </c>
      <c r="I113">
        <f t="shared" si="288"/>
        <v>228.26044835734388</v>
      </c>
      <c r="J113">
        <f t="shared" si="289"/>
        <v>136.95626901440659</v>
      </c>
      <c r="K113" s="10">
        <f t="shared" si="290"/>
        <v>852.17234053408265</v>
      </c>
      <c r="M113" s="33" t="s">
        <v>86</v>
      </c>
      <c r="N113" s="40">
        <f t="shared" si="291"/>
        <v>152.1736322382294</v>
      </c>
      <c r="O113">
        <f t="shared" si="292"/>
        <v>608.69452895291624</v>
      </c>
      <c r="P113">
        <f t="shared" si="293"/>
        <v>441.30353349086363</v>
      </c>
      <c r="Q113" s="10">
        <f t="shared" si="294"/>
        <v>608.69452895291579</v>
      </c>
    </row>
    <row r="114" spans="1:17" x14ac:dyDescent="0.25">
      <c r="A114" s="33" t="s">
        <v>87</v>
      </c>
      <c r="B114" s="40">
        <f t="shared" si="283"/>
        <v>4306.513792341887</v>
      </c>
      <c r="C114">
        <f t="shared" si="284"/>
        <v>1202.1716946820088</v>
      </c>
      <c r="D114">
        <f t="shared" si="285"/>
        <v>395.65144381939717</v>
      </c>
      <c r="E114" s="10">
        <f t="shared" si="286"/>
        <v>6619.5530023629781</v>
      </c>
      <c r="G114" s="33" t="s">
        <v>87</v>
      </c>
      <c r="H114" s="40">
        <f t="shared" si="287"/>
        <v>715.21607151967839</v>
      </c>
      <c r="I114">
        <f t="shared" si="288"/>
        <v>273.91253802881329</v>
      </c>
      <c r="J114">
        <f t="shared" si="289"/>
        <v>517.39034960997924</v>
      </c>
      <c r="K114" s="10">
        <f t="shared" si="290"/>
        <v>2495.6475687069619</v>
      </c>
      <c r="M114" s="33" t="s">
        <v>87</v>
      </c>
      <c r="N114" s="40">
        <f t="shared" si="291"/>
        <v>3195.646277002817</v>
      </c>
      <c r="O114">
        <f t="shared" si="292"/>
        <v>928.25915665319917</v>
      </c>
      <c r="P114">
        <f t="shared" si="293"/>
        <v>578.25980250527027</v>
      </c>
      <c r="Q114" s="10">
        <f t="shared" si="294"/>
        <v>7106.5086255252982</v>
      </c>
    </row>
    <row r="115" spans="1:17" x14ac:dyDescent="0.25">
      <c r="A115" s="33" t="s">
        <v>88</v>
      </c>
      <c r="B115" s="40">
        <f t="shared" si="283"/>
        <v>3378.2546356886828</v>
      </c>
      <c r="C115">
        <f t="shared" si="284"/>
        <v>121.73890579058389</v>
      </c>
      <c r="D115">
        <f t="shared" si="285"/>
        <v>1339.1279636964155</v>
      </c>
      <c r="E115" s="10">
        <f t="shared" si="286"/>
        <v>1110.8675153390723</v>
      </c>
      <c r="G115" s="33" t="s">
        <v>88</v>
      </c>
      <c r="H115" s="40">
        <f t="shared" si="287"/>
        <v>213.04308513352177</v>
      </c>
      <c r="I115">
        <f t="shared" si="288"/>
        <v>15.217363223822758</v>
      </c>
      <c r="J115">
        <f t="shared" si="289"/>
        <v>228.26044835734342</v>
      </c>
      <c r="K115" s="10">
        <f t="shared" si="290"/>
        <v>60.869452895291488</v>
      </c>
      <c r="M115" s="33" t="s">
        <v>88</v>
      </c>
      <c r="N115" s="40">
        <f t="shared" si="291"/>
        <v>3560.862994374565</v>
      </c>
      <c r="O115">
        <f t="shared" si="292"/>
        <v>456.52089671468639</v>
      </c>
      <c r="P115">
        <f t="shared" si="293"/>
        <v>2358.6912996925471</v>
      </c>
      <c r="Q115" s="10">
        <f t="shared" si="294"/>
        <v>197.82572190969768</v>
      </c>
    </row>
    <row r="116" spans="1:17" ht="15.75" thickBot="1" x14ac:dyDescent="0.3">
      <c r="A116" s="34" t="s">
        <v>89</v>
      </c>
      <c r="B116" s="41">
        <f t="shared" si="283"/>
        <v>3149.9941873313524</v>
      </c>
      <c r="C116" s="18">
        <f t="shared" si="284"/>
        <v>593.47716572909303</v>
      </c>
      <c r="D116" s="18">
        <f t="shared" si="285"/>
        <v>639.12925540056312</v>
      </c>
      <c r="E116" s="20">
        <f t="shared" si="286"/>
        <v>1293.475874024949</v>
      </c>
      <c r="G116" s="34" t="s">
        <v>89</v>
      </c>
      <c r="H116" s="41">
        <f t="shared" si="287"/>
        <v>30.434726447645858</v>
      </c>
      <c r="I116" s="18">
        <f t="shared" si="288"/>
        <v>76.086816119114474</v>
      </c>
      <c r="J116" s="18">
        <f t="shared" si="289"/>
        <v>45.652089671468786</v>
      </c>
      <c r="K116" s="20">
        <f t="shared" si="290"/>
        <v>76.086816119114587</v>
      </c>
      <c r="M116" s="34" t="s">
        <v>89</v>
      </c>
      <c r="N116" s="41">
        <f t="shared" si="291"/>
        <v>2419.5607525878445</v>
      </c>
      <c r="O116" s="18">
        <f t="shared" si="292"/>
        <v>334.78199092410432</v>
      </c>
      <c r="P116" s="18">
        <f t="shared" si="293"/>
        <v>441.30353349086363</v>
      </c>
      <c r="Q116" s="20">
        <f t="shared" si="294"/>
        <v>547.82507605762657</v>
      </c>
    </row>
  </sheetData>
  <mergeCells count="200">
    <mergeCell ref="N87:N88"/>
    <mergeCell ref="O87:O88"/>
    <mergeCell ref="P87:P88"/>
    <mergeCell ref="Q87:Q88"/>
    <mergeCell ref="P81:P82"/>
    <mergeCell ref="Q81:Q82"/>
    <mergeCell ref="N83:N84"/>
    <mergeCell ref="O83:O84"/>
    <mergeCell ref="P83:P84"/>
    <mergeCell ref="Q83:Q84"/>
    <mergeCell ref="N85:N86"/>
    <mergeCell ref="O85:O86"/>
    <mergeCell ref="P85:P86"/>
    <mergeCell ref="Q85:Q86"/>
    <mergeCell ref="Q64:Q65"/>
    <mergeCell ref="Q31:Q32"/>
    <mergeCell ref="Q33:Q34"/>
    <mergeCell ref="Q35:Q36"/>
    <mergeCell ref="Q37:Q38"/>
    <mergeCell ref="Q39:Q40"/>
    <mergeCell ref="Q41:Q42"/>
    <mergeCell ref="Q54:Q55"/>
    <mergeCell ref="Q56:Q57"/>
    <mergeCell ref="Q58:Q59"/>
    <mergeCell ref="Q60:Q61"/>
    <mergeCell ref="Q62:Q63"/>
    <mergeCell ref="N52:Q52"/>
    <mergeCell ref="N60:N61"/>
    <mergeCell ref="O60:O61"/>
    <mergeCell ref="P60:P61"/>
    <mergeCell ref="N62:N63"/>
    <mergeCell ref="O62:O63"/>
    <mergeCell ref="P62:P63"/>
    <mergeCell ref="N64:N65"/>
    <mergeCell ref="O64:O65"/>
    <mergeCell ref="P64:P65"/>
    <mergeCell ref="N54:N55"/>
    <mergeCell ref="O54:O55"/>
    <mergeCell ref="P54:P55"/>
    <mergeCell ref="N56:N57"/>
    <mergeCell ref="O56:O57"/>
    <mergeCell ref="P56:P57"/>
    <mergeCell ref="N58:N59"/>
    <mergeCell ref="O58:O59"/>
    <mergeCell ref="P58:P59"/>
    <mergeCell ref="N37:N38"/>
    <mergeCell ref="O37:O38"/>
    <mergeCell ref="P37:P38"/>
    <mergeCell ref="N39:N40"/>
    <mergeCell ref="O39:O40"/>
    <mergeCell ref="P39:P40"/>
    <mergeCell ref="N41:N42"/>
    <mergeCell ref="O41:O42"/>
    <mergeCell ref="P41:P42"/>
    <mergeCell ref="N31:N32"/>
    <mergeCell ref="O31:O32"/>
    <mergeCell ref="P31:P32"/>
    <mergeCell ref="N33:N34"/>
    <mergeCell ref="O33:O34"/>
    <mergeCell ref="P33:P34"/>
    <mergeCell ref="N35:N36"/>
    <mergeCell ref="O35:O36"/>
    <mergeCell ref="P35:P36"/>
    <mergeCell ref="R54:R55"/>
    <mergeCell ref="S54:S55"/>
    <mergeCell ref="T54:T55"/>
    <mergeCell ref="U54:U55"/>
    <mergeCell ref="R56:R57"/>
    <mergeCell ref="S56:S57"/>
    <mergeCell ref="T56:T57"/>
    <mergeCell ref="U56:U57"/>
    <mergeCell ref="N8:N9"/>
    <mergeCell ref="O8:O9"/>
    <mergeCell ref="P8:P9"/>
    <mergeCell ref="Q8:Q9"/>
    <mergeCell ref="N10:N11"/>
    <mergeCell ref="O10:O11"/>
    <mergeCell ref="P10:P11"/>
    <mergeCell ref="Q10:Q11"/>
    <mergeCell ref="N12:N13"/>
    <mergeCell ref="O12:O13"/>
    <mergeCell ref="P12:P13"/>
    <mergeCell ref="Q12:Q13"/>
    <mergeCell ref="N14:N15"/>
    <mergeCell ref="O14:O15"/>
    <mergeCell ref="P14:P15"/>
    <mergeCell ref="Q14:Q15"/>
    <mergeCell ref="R62:R63"/>
    <mergeCell ref="S62:S63"/>
    <mergeCell ref="T62:T63"/>
    <mergeCell ref="U62:U63"/>
    <mergeCell ref="R64:R65"/>
    <mergeCell ref="S64:S65"/>
    <mergeCell ref="T64:T65"/>
    <mergeCell ref="U64:U65"/>
    <mergeCell ref="R58:R59"/>
    <mergeCell ref="S58:S59"/>
    <mergeCell ref="T58:T59"/>
    <mergeCell ref="U58:U59"/>
    <mergeCell ref="R60:R61"/>
    <mergeCell ref="S60:S61"/>
    <mergeCell ref="T60:T61"/>
    <mergeCell ref="U60:U61"/>
    <mergeCell ref="R52:U52"/>
    <mergeCell ref="N6:Q6"/>
    <mergeCell ref="R6:U6"/>
    <mergeCell ref="R8:R9"/>
    <mergeCell ref="S8:S9"/>
    <mergeCell ref="T8:T9"/>
    <mergeCell ref="U8:U9"/>
    <mergeCell ref="R10:R11"/>
    <mergeCell ref="S10:S11"/>
    <mergeCell ref="T10:T11"/>
    <mergeCell ref="U10:U11"/>
    <mergeCell ref="R12:R13"/>
    <mergeCell ref="S12:S13"/>
    <mergeCell ref="T12:T13"/>
    <mergeCell ref="U12:U13"/>
    <mergeCell ref="R14:R15"/>
    <mergeCell ref="N16:N17"/>
    <mergeCell ref="O16:O17"/>
    <mergeCell ref="P16:P17"/>
    <mergeCell ref="Q16:Q17"/>
    <mergeCell ref="N18:N19"/>
    <mergeCell ref="O18:O19"/>
    <mergeCell ref="P18:P19"/>
    <mergeCell ref="Q18:Q19"/>
    <mergeCell ref="N29:Q29"/>
    <mergeCell ref="R29:U29"/>
    <mergeCell ref="S14:S15"/>
    <mergeCell ref="T14:T15"/>
    <mergeCell ref="U14:U15"/>
    <mergeCell ref="R16:R17"/>
    <mergeCell ref="S16:S17"/>
    <mergeCell ref="T16:T17"/>
    <mergeCell ref="U16:U17"/>
    <mergeCell ref="R31:R32"/>
    <mergeCell ref="S31:S32"/>
    <mergeCell ref="T31:T32"/>
    <mergeCell ref="U31:U32"/>
    <mergeCell ref="R33:R34"/>
    <mergeCell ref="S33:S34"/>
    <mergeCell ref="T33:T34"/>
    <mergeCell ref="U33:U34"/>
    <mergeCell ref="R18:R19"/>
    <mergeCell ref="S18:S19"/>
    <mergeCell ref="T18:T19"/>
    <mergeCell ref="U18:U19"/>
    <mergeCell ref="R39:R40"/>
    <mergeCell ref="S39:S40"/>
    <mergeCell ref="T39:T40"/>
    <mergeCell ref="U39:U40"/>
    <mergeCell ref="R41:R42"/>
    <mergeCell ref="S41:S42"/>
    <mergeCell ref="T41:T42"/>
    <mergeCell ref="U41:U42"/>
    <mergeCell ref="R35:R36"/>
    <mergeCell ref="S35:S36"/>
    <mergeCell ref="T35:T36"/>
    <mergeCell ref="U35:U36"/>
    <mergeCell ref="R37:R38"/>
    <mergeCell ref="S37:S38"/>
    <mergeCell ref="T37:T38"/>
    <mergeCell ref="U37:U38"/>
    <mergeCell ref="R79:R80"/>
    <mergeCell ref="S79:S80"/>
    <mergeCell ref="T79:T80"/>
    <mergeCell ref="U79:U80"/>
    <mergeCell ref="R81:R82"/>
    <mergeCell ref="S81:S82"/>
    <mergeCell ref="T81:T82"/>
    <mergeCell ref="U81:U82"/>
    <mergeCell ref="N75:Q75"/>
    <mergeCell ref="R75:U75"/>
    <mergeCell ref="R77:R78"/>
    <mergeCell ref="S77:S78"/>
    <mergeCell ref="T77:T78"/>
    <mergeCell ref="U77:U78"/>
    <mergeCell ref="N77:N78"/>
    <mergeCell ref="O77:O78"/>
    <mergeCell ref="P77:P78"/>
    <mergeCell ref="Q77:Q78"/>
    <mergeCell ref="N79:N80"/>
    <mergeCell ref="O79:O80"/>
    <mergeCell ref="P79:P80"/>
    <mergeCell ref="Q79:Q80"/>
    <mergeCell ref="N81:N82"/>
    <mergeCell ref="O81:O82"/>
    <mergeCell ref="R87:R88"/>
    <mergeCell ref="S87:S88"/>
    <mergeCell ref="T87:T88"/>
    <mergeCell ref="U87:U88"/>
    <mergeCell ref="R83:R84"/>
    <mergeCell ref="S83:S84"/>
    <mergeCell ref="T83:T84"/>
    <mergeCell ref="U83:U84"/>
    <mergeCell ref="R85:R86"/>
    <mergeCell ref="S85:S86"/>
    <mergeCell ref="T85:T86"/>
    <mergeCell ref="U85:U86"/>
  </mergeCells>
  <pageMargins left="0.7" right="0.7" top="0.75" bottom="0.75" header="0.3" footer="0.3"/>
  <pageSetup paperSize="9" orientation="portrait" horizontalDpi="0" verticalDpi="0" r:id="rId1"/>
  <headerFooter>
    <oddHeader>&amp;R&amp;"Calibri"&amp;10&amp;K000000 PUBLIC / CYHOEDDUS&amp;1#_x000D_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0B9B4-FDE7-436C-AAE2-BBA0830835AF}">
  <dimension ref="A2:BP25"/>
  <sheetViews>
    <sheetView zoomScale="140" zoomScaleNormal="140" workbookViewId="0">
      <selection activeCell="N10" sqref="N10"/>
    </sheetView>
  </sheetViews>
  <sheetFormatPr defaultRowHeight="15" x14ac:dyDescent="0.25"/>
  <cols>
    <col min="1" max="1" width="10.5703125" bestFit="1" customWidth="1"/>
    <col min="2" max="2" width="13.7109375" customWidth="1"/>
    <col min="3" max="3" width="11.5703125" bestFit="1" customWidth="1"/>
    <col min="21" max="21" width="8.7109375" customWidth="1"/>
    <col min="22" max="22" width="8.5703125" customWidth="1"/>
    <col min="26" max="26" width="11.7109375" customWidth="1"/>
    <col min="29" max="29" width="10.42578125" bestFit="1" customWidth="1"/>
  </cols>
  <sheetData>
    <row r="2" spans="1:68" x14ac:dyDescent="0.25">
      <c r="B2" t="s">
        <v>131</v>
      </c>
      <c r="O2" t="s">
        <v>132</v>
      </c>
    </row>
    <row r="3" spans="1:68" ht="15.75" thickBot="1" x14ac:dyDescent="0.3">
      <c r="B3" s="2" t="s">
        <v>133</v>
      </c>
      <c r="O3" s="2" t="s">
        <v>133</v>
      </c>
      <c r="AU3" s="153"/>
      <c r="AV3" s="153"/>
      <c r="AW3" s="153"/>
      <c r="AX3" s="153"/>
      <c r="AY3" s="153"/>
      <c r="AZ3" s="153"/>
      <c r="BA3" s="153"/>
      <c r="BB3" s="153"/>
      <c r="BC3" s="153"/>
      <c r="BD3" s="153"/>
      <c r="BE3" s="153"/>
      <c r="BF3" s="153"/>
      <c r="BG3" s="153"/>
      <c r="BH3" s="153"/>
      <c r="BI3" s="153"/>
      <c r="BJ3" s="153"/>
      <c r="BK3" s="153"/>
      <c r="BL3" s="153"/>
      <c r="BM3" s="153"/>
      <c r="BN3" s="153"/>
      <c r="BO3" s="153"/>
      <c r="BP3" s="153"/>
    </row>
    <row r="4" spans="1:68" x14ac:dyDescent="0.25">
      <c r="B4" s="30" t="s">
        <v>109</v>
      </c>
      <c r="C4" s="31" t="s">
        <v>134</v>
      </c>
      <c r="D4" s="31" t="s">
        <v>135</v>
      </c>
      <c r="E4" s="31" t="s">
        <v>136</v>
      </c>
      <c r="F4" s="31" t="s">
        <v>137</v>
      </c>
      <c r="G4" s="31" t="s">
        <v>134</v>
      </c>
      <c r="H4" s="31" t="s">
        <v>135</v>
      </c>
      <c r="I4" s="31" t="s">
        <v>136</v>
      </c>
      <c r="J4" s="31" t="s">
        <v>137</v>
      </c>
      <c r="K4" s="31" t="s">
        <v>36</v>
      </c>
      <c r="L4" s="31" t="s">
        <v>37</v>
      </c>
      <c r="M4" s="32" t="s">
        <v>38</v>
      </c>
      <c r="N4" s="2"/>
      <c r="O4" s="30" t="s">
        <v>109</v>
      </c>
      <c r="P4" s="31" t="s">
        <v>134</v>
      </c>
      <c r="Q4" s="31" t="s">
        <v>135</v>
      </c>
      <c r="R4" s="31" t="s">
        <v>136</v>
      </c>
      <c r="S4" s="31" t="s">
        <v>137</v>
      </c>
      <c r="T4" s="31" t="s">
        <v>134</v>
      </c>
      <c r="U4" s="31" t="s">
        <v>135</v>
      </c>
      <c r="V4" s="31" t="s">
        <v>136</v>
      </c>
      <c r="W4" s="31" t="s">
        <v>137</v>
      </c>
      <c r="X4" s="31" t="s">
        <v>36</v>
      </c>
      <c r="Y4" s="31" t="s">
        <v>37</v>
      </c>
      <c r="Z4" s="32" t="s">
        <v>38</v>
      </c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</row>
    <row r="5" spans="1:68" x14ac:dyDescent="0.25">
      <c r="A5" s="4"/>
      <c r="B5" s="33" t="s">
        <v>57</v>
      </c>
      <c r="C5" s="81">
        <v>25.509</v>
      </c>
      <c r="D5" s="81">
        <v>4.6311</v>
      </c>
      <c r="E5" s="81">
        <v>25.819500000000001</v>
      </c>
      <c r="F5" s="81">
        <v>25.621600000000001</v>
      </c>
      <c r="G5" s="81">
        <v>24.952300000000001</v>
      </c>
      <c r="H5" s="81">
        <v>11.7036</v>
      </c>
      <c r="I5" s="81">
        <v>25.784099999999999</v>
      </c>
      <c r="J5" s="81">
        <v>25.248899999999999</v>
      </c>
      <c r="K5" s="104">
        <f>AVERAGE((E5-C5)/D5,(I5-G5)/H5)</f>
        <v>6.9059427353371811E-2</v>
      </c>
      <c r="L5" s="104">
        <f>AVERAGE((E5-F5)/D5,(I5-J5)/H5)</f>
        <v>4.4231173588065775E-2</v>
      </c>
      <c r="M5" s="70">
        <f>L5/K5</f>
        <v>0.64047987773976522</v>
      </c>
      <c r="O5" s="33" t="s">
        <v>57</v>
      </c>
      <c r="P5" s="105">
        <v>21.270199999999999</v>
      </c>
      <c r="Q5" s="105">
        <v>1.0154000000000001</v>
      </c>
      <c r="R5" s="105">
        <v>21.284800000000001</v>
      </c>
      <c r="S5" s="105">
        <v>21.279499999999999</v>
      </c>
      <c r="T5" s="105">
        <v>20.66</v>
      </c>
      <c r="U5" s="105">
        <v>1.0255000000000001</v>
      </c>
      <c r="V5" s="105">
        <v>20.674800000000001</v>
      </c>
      <c r="W5" s="105">
        <v>20.6694</v>
      </c>
      <c r="X5" s="104">
        <f>AVERAGE((R5-P5)/Q5,(V5-T5)/U5)</f>
        <v>1.4405277209761765E-2</v>
      </c>
      <c r="Y5" s="104">
        <f>AVERAGE((R5-S5)/Q5,(V5-W5)/U5)</f>
        <v>5.2426709608180081E-3</v>
      </c>
      <c r="Z5" s="70">
        <f>Y5/X5</f>
        <v>0.3639409977661035</v>
      </c>
      <c r="AG5" s="47"/>
      <c r="AH5" s="47"/>
      <c r="AI5" s="47"/>
      <c r="AR5" s="47"/>
      <c r="AS5" s="47"/>
      <c r="AT5" s="47"/>
      <c r="BC5" s="47"/>
      <c r="BD5" s="47"/>
      <c r="BE5" s="47"/>
      <c r="BN5" s="47"/>
      <c r="BO5" s="47"/>
      <c r="BP5" s="47"/>
    </row>
    <row r="6" spans="1:68" x14ac:dyDescent="0.25">
      <c r="A6" s="4"/>
      <c r="B6" s="33" t="s">
        <v>58</v>
      </c>
      <c r="C6" s="81">
        <v>25.2395</v>
      </c>
      <c r="D6" s="81">
        <v>4.3083999999999998</v>
      </c>
      <c r="E6" s="81">
        <v>25.517900000000001</v>
      </c>
      <c r="F6" s="81">
        <v>25.340499999999999</v>
      </c>
      <c r="G6" s="81">
        <v>15.6279</v>
      </c>
      <c r="H6" s="81">
        <v>3.0983999999999998</v>
      </c>
      <c r="I6" s="81">
        <v>15.831300000000001</v>
      </c>
      <c r="J6" s="81">
        <v>15.700900000000001</v>
      </c>
      <c r="K6" s="104">
        <f>AVERAGE((E6-C6)/D6,(I6-G6)/H6)</f>
        <v>6.5132370529611044E-2</v>
      </c>
      <c r="L6" s="104">
        <f>AVERAGE((E6-F6)/D6,(I6-J6)/H6)</f>
        <v>4.1630808194527996E-2</v>
      </c>
      <c r="M6" s="70">
        <f>L6/K6</f>
        <v>0.63917231717524292</v>
      </c>
      <c r="O6" s="33" t="s">
        <v>58</v>
      </c>
      <c r="P6" s="105">
        <v>15.747</v>
      </c>
      <c r="Q6" s="105">
        <v>1.0075000000000001</v>
      </c>
      <c r="R6" s="105">
        <v>15.761100000000001</v>
      </c>
      <c r="S6" s="105">
        <v>15.756</v>
      </c>
      <c r="T6" s="105">
        <v>15.5579</v>
      </c>
      <c r="U6" s="105">
        <v>1.0276000000000001</v>
      </c>
      <c r="V6" s="105">
        <v>15.5726</v>
      </c>
      <c r="W6" s="105">
        <v>15.5672</v>
      </c>
      <c r="X6" s="104">
        <f>AVERAGE((R6-P6)/Q6,(V6-T6)/U6)</f>
        <v>1.4150107166280339E-2</v>
      </c>
      <c r="Y6" s="104">
        <f>AVERAGE((R6-S6)/Q6,(V6-W6)/U6)</f>
        <v>5.1584988800425433E-3</v>
      </c>
      <c r="Z6" s="70">
        <f>Y6/X6</f>
        <v>0.36455546374484216</v>
      </c>
      <c r="AG6" s="43"/>
      <c r="AH6" s="43"/>
      <c r="AI6" s="43"/>
      <c r="AR6" s="43"/>
      <c r="AS6" s="43"/>
      <c r="AT6" s="43"/>
      <c r="BC6" s="43"/>
      <c r="BD6" s="43"/>
      <c r="BE6" s="43"/>
      <c r="BN6" s="43"/>
      <c r="BO6" s="43"/>
      <c r="BP6" s="43"/>
    </row>
    <row r="7" spans="1:68" x14ac:dyDescent="0.25">
      <c r="A7" s="4"/>
      <c r="B7" s="33" t="s">
        <v>60</v>
      </c>
      <c r="C7" s="81">
        <v>25.730499999999999</v>
      </c>
      <c r="D7" s="81">
        <v>4.1269999999999998</v>
      </c>
      <c r="E7" s="81">
        <v>25.9849</v>
      </c>
      <c r="F7" s="81">
        <v>25.8278</v>
      </c>
      <c r="G7" s="81">
        <v>24.912400000000002</v>
      </c>
      <c r="H7" s="81">
        <v>6.5339999999999998</v>
      </c>
      <c r="I7" s="81">
        <v>25.3111</v>
      </c>
      <c r="J7" s="81">
        <v>25.066800000000001</v>
      </c>
      <c r="K7" s="104">
        <f t="shared" ref="K7:K12" si="0">AVERAGE((E7-C7)/D7,(I7-G7)/H7)</f>
        <v>6.1331061790893843E-2</v>
      </c>
      <c r="L7" s="104">
        <f t="shared" ref="L7:L12" si="1">AVERAGE((E7-F7)/D7,(I7-J7)/H7)</f>
        <v>3.7727716993417273E-2</v>
      </c>
      <c r="M7" s="70">
        <f t="shared" ref="M7:M12" si="2">L7/K7</f>
        <v>0.61514860319960929</v>
      </c>
      <c r="O7" s="33" t="s">
        <v>60</v>
      </c>
      <c r="P7" s="105">
        <v>25.731200000000001</v>
      </c>
      <c r="Q7" s="105">
        <v>1.1385000000000001</v>
      </c>
      <c r="R7" s="105">
        <v>25.7502</v>
      </c>
      <c r="S7" s="105">
        <v>25.741700000000002</v>
      </c>
      <c r="T7" s="105">
        <v>20.826599999999999</v>
      </c>
      <c r="U7" s="105">
        <v>1.0223</v>
      </c>
      <c r="V7" s="105">
        <v>20.843499999999999</v>
      </c>
      <c r="W7" s="105">
        <v>20.835899999999999</v>
      </c>
      <c r="X7" s="104">
        <f t="shared" ref="X7:X15" si="3">AVERAGE((R7-P7)/Q7,(V7-T7)/U7)</f>
        <v>1.6609988129876338E-2</v>
      </c>
      <c r="Y7" s="104">
        <f t="shared" ref="Y7:Y14" si="4">AVERAGE((R7-S7)/Q7,(V7-W7)/U7)</f>
        <v>7.4500904747271399E-3</v>
      </c>
      <c r="Z7" s="70">
        <f t="shared" ref="Z7:Z15" si="5">Y7/X7</f>
        <v>0.44853075248902097</v>
      </c>
      <c r="AG7" s="43"/>
      <c r="AH7" s="43"/>
      <c r="AI7" s="43"/>
      <c r="AR7" s="43"/>
      <c r="AS7" s="43"/>
      <c r="AT7" s="43"/>
      <c r="BC7" s="43"/>
      <c r="BD7" s="43"/>
      <c r="BE7" s="43"/>
      <c r="BN7" s="43"/>
      <c r="BO7" s="43"/>
      <c r="BP7" s="43"/>
    </row>
    <row r="8" spans="1:68" x14ac:dyDescent="0.25">
      <c r="A8" s="4"/>
      <c r="B8" s="33" t="s">
        <v>61</v>
      </c>
      <c r="C8" s="81">
        <v>23.676300000000001</v>
      </c>
      <c r="D8" s="81">
        <v>6.2278000000000002</v>
      </c>
      <c r="E8" s="81">
        <v>24.055299999999999</v>
      </c>
      <c r="F8" s="81">
        <v>23.825299999999999</v>
      </c>
      <c r="G8" s="81">
        <v>20.529399999999999</v>
      </c>
      <c r="H8" s="81">
        <v>5.3327999999999998</v>
      </c>
      <c r="I8" s="81">
        <v>20.860399999999998</v>
      </c>
      <c r="J8" s="81">
        <v>20.661300000000001</v>
      </c>
      <c r="K8" s="104">
        <f t="shared" si="0"/>
        <v>6.1462433977428801E-2</v>
      </c>
      <c r="L8" s="104">
        <f t="shared" si="1"/>
        <v>3.7133081524055124E-2</v>
      </c>
      <c r="M8" s="70">
        <f t="shared" si="2"/>
        <v>0.60415898169102311</v>
      </c>
      <c r="O8" s="33" t="s">
        <v>61</v>
      </c>
      <c r="P8" s="105">
        <v>24.913399999999999</v>
      </c>
      <c r="Q8" s="105">
        <v>1.0041</v>
      </c>
      <c r="R8" s="105">
        <v>24.931000000000001</v>
      </c>
      <c r="S8" s="105">
        <v>24.923100000000002</v>
      </c>
      <c r="T8" s="105">
        <v>14.7186</v>
      </c>
      <c r="U8" s="105">
        <v>1.0203</v>
      </c>
      <c r="V8" s="105">
        <v>14.736499999999999</v>
      </c>
      <c r="W8" s="105">
        <v>14.728300000000001</v>
      </c>
      <c r="X8" s="104">
        <f t="shared" si="3"/>
        <v>1.7535997148533503E-2</v>
      </c>
      <c r="Y8" s="104">
        <f t="shared" si="4"/>
        <v>7.9522970815237189E-3</v>
      </c>
      <c r="Z8" s="70">
        <f t="shared" si="5"/>
        <v>0.45348416826064281</v>
      </c>
      <c r="AG8" s="43"/>
      <c r="AH8" s="43"/>
      <c r="AI8" s="43"/>
      <c r="AR8" s="43"/>
      <c r="AS8" s="43"/>
      <c r="AT8" s="43"/>
      <c r="BC8" s="43"/>
      <c r="BD8" s="43"/>
      <c r="BE8" s="43"/>
      <c r="BN8" s="43"/>
      <c r="BO8" s="43"/>
      <c r="BP8" s="43"/>
    </row>
    <row r="9" spans="1:68" x14ac:dyDescent="0.25">
      <c r="A9" s="4"/>
      <c r="B9" s="33" t="s">
        <v>63</v>
      </c>
      <c r="C9" s="81">
        <v>25.2637</v>
      </c>
      <c r="D9" s="81">
        <v>7.0522</v>
      </c>
      <c r="E9" s="81">
        <v>25.6813</v>
      </c>
      <c r="F9" s="81">
        <v>25.418199999999999</v>
      </c>
      <c r="G9" s="81">
        <v>15.606199999999999</v>
      </c>
      <c r="H9" s="81">
        <v>4.3064999999999998</v>
      </c>
      <c r="I9" s="81">
        <v>15.855700000000001</v>
      </c>
      <c r="J9" s="81">
        <v>15.698499999999999</v>
      </c>
      <c r="K9" s="104">
        <f t="shared" si="0"/>
        <v>5.8575621281414393E-2</v>
      </c>
      <c r="L9" s="104">
        <f t="shared" si="1"/>
        <v>3.6905233759089356E-2</v>
      </c>
      <c r="M9" s="70">
        <f t="shared" si="2"/>
        <v>0.63004425649684248</v>
      </c>
      <c r="O9" s="33" t="s">
        <v>63</v>
      </c>
      <c r="P9" s="105">
        <v>23.677199999999999</v>
      </c>
      <c r="Q9" s="105">
        <v>1.0033000000000001</v>
      </c>
      <c r="R9" s="105">
        <v>23.692399999999999</v>
      </c>
      <c r="S9" s="105">
        <v>23.684899999999999</v>
      </c>
      <c r="T9" s="105">
        <v>17.025400000000001</v>
      </c>
      <c r="U9" s="105">
        <v>1.0096000000000001</v>
      </c>
      <c r="V9" s="105">
        <v>17.040400000000002</v>
      </c>
      <c r="W9" s="105">
        <v>17.033100000000001</v>
      </c>
      <c r="X9" s="104">
        <f t="shared" si="3"/>
        <v>1.5003687119352745E-2</v>
      </c>
      <c r="Y9" s="104">
        <f t="shared" si="4"/>
        <v>7.3529588885999884E-3</v>
      </c>
      <c r="Z9" s="70">
        <f t="shared" si="5"/>
        <v>0.49007679446445251</v>
      </c>
      <c r="AG9" s="43"/>
      <c r="AH9" s="43"/>
      <c r="AI9" s="43"/>
      <c r="AR9" s="43"/>
      <c r="AS9" s="43"/>
      <c r="AT9" s="43"/>
      <c r="BC9" s="43"/>
      <c r="BD9" s="43"/>
      <c r="BE9" s="43"/>
      <c r="BN9" s="43"/>
      <c r="BO9" s="43"/>
      <c r="BP9" s="43"/>
    </row>
    <row r="10" spans="1:68" x14ac:dyDescent="0.25">
      <c r="A10" s="4"/>
      <c r="B10" s="33" t="s">
        <v>64</v>
      </c>
      <c r="C10" s="81">
        <v>23.190899999999999</v>
      </c>
      <c r="D10" s="81">
        <v>3.8616000000000001</v>
      </c>
      <c r="E10" s="81">
        <v>23.4148</v>
      </c>
      <c r="F10" s="81">
        <v>23.275200000000002</v>
      </c>
      <c r="G10" s="81">
        <v>20.826000000000001</v>
      </c>
      <c r="H10" s="81">
        <v>5.4255000000000004</v>
      </c>
      <c r="I10" s="81">
        <v>21.1431</v>
      </c>
      <c r="J10" s="81">
        <v>20.944700000000001</v>
      </c>
      <c r="K10" s="104">
        <f t="shared" si="0"/>
        <v>5.8213686932532524E-2</v>
      </c>
      <c r="L10" s="104">
        <f t="shared" si="1"/>
        <v>3.6359438278565803E-2</v>
      </c>
      <c r="M10" s="70">
        <f t="shared" si="2"/>
        <v>0.62458573223003422</v>
      </c>
      <c r="O10" s="33" t="s">
        <v>64</v>
      </c>
      <c r="P10" s="105">
        <v>24.952400000000001</v>
      </c>
      <c r="Q10" s="105">
        <v>1.0361</v>
      </c>
      <c r="R10" s="105">
        <v>24.968599999999999</v>
      </c>
      <c r="S10" s="105">
        <v>24.960699999999999</v>
      </c>
      <c r="T10" s="105">
        <v>20.529599999999999</v>
      </c>
      <c r="U10" s="105">
        <v>1.0919000000000001</v>
      </c>
      <c r="V10" s="105">
        <v>20.546800000000001</v>
      </c>
      <c r="W10" s="105">
        <v>20.538499999999999</v>
      </c>
      <c r="X10" s="104">
        <f t="shared" si="3"/>
        <v>1.5693957344020525E-2</v>
      </c>
      <c r="Y10" s="104">
        <f t="shared" si="4"/>
        <v>7.6130876741699622E-3</v>
      </c>
      <c r="Z10" s="70">
        <f t="shared" si="5"/>
        <v>0.48509674821249504</v>
      </c>
      <c r="AG10" s="43"/>
      <c r="AH10" s="43"/>
      <c r="AI10" s="43"/>
      <c r="AR10" s="43"/>
      <c r="AS10" s="43"/>
      <c r="AT10" s="43"/>
      <c r="BC10" s="43"/>
      <c r="BD10" s="43"/>
      <c r="BE10" s="43"/>
      <c r="BN10" s="43"/>
      <c r="BO10" s="43"/>
      <c r="BP10" s="43"/>
    </row>
    <row r="11" spans="1:68" x14ac:dyDescent="0.25">
      <c r="A11" s="4"/>
      <c r="B11" s="33" t="s">
        <v>66</v>
      </c>
      <c r="C11" s="81">
        <v>26.773099999999999</v>
      </c>
      <c r="D11" s="81">
        <v>7.5682</v>
      </c>
      <c r="E11" s="81">
        <v>27.365600000000001</v>
      </c>
      <c r="F11" s="81">
        <v>27.0337</v>
      </c>
      <c r="G11" s="81">
        <v>21.748899999999999</v>
      </c>
      <c r="H11" s="81">
        <v>5.9194000000000004</v>
      </c>
      <c r="I11" s="81">
        <v>22.2166</v>
      </c>
      <c r="J11" s="81">
        <v>21.9528</v>
      </c>
      <c r="K11" s="104">
        <f t="shared" si="0"/>
        <v>7.8649743248959736E-2</v>
      </c>
      <c r="L11" s="104">
        <f t="shared" si="1"/>
        <v>4.4209938432681652E-2</v>
      </c>
      <c r="M11" s="70">
        <f t="shared" si="2"/>
        <v>0.5621116688548935</v>
      </c>
      <c r="O11" s="33" t="s">
        <v>66</v>
      </c>
      <c r="P11" s="105">
        <v>25.264099999999999</v>
      </c>
      <c r="Q11" s="105">
        <v>1.081</v>
      </c>
      <c r="R11" s="105">
        <v>25.279800000000002</v>
      </c>
      <c r="S11" s="105">
        <v>25.273399999999999</v>
      </c>
      <c r="T11" s="105">
        <v>15.607200000000001</v>
      </c>
      <c r="U11" s="105">
        <v>1.0309999999999999</v>
      </c>
      <c r="V11" s="105">
        <v>15.622199999999999</v>
      </c>
      <c r="W11" s="105">
        <v>15.616099999999999</v>
      </c>
      <c r="X11" s="104">
        <f t="shared" si="3"/>
        <v>1.4536285420243166E-2</v>
      </c>
      <c r="Y11" s="104">
        <f t="shared" si="4"/>
        <v>5.9185149361481986E-3</v>
      </c>
      <c r="Z11" s="70">
        <f t="shared" si="5"/>
        <v>0.40715456287794827</v>
      </c>
      <c r="AG11" s="43"/>
      <c r="AH11" s="43"/>
      <c r="AI11" s="43"/>
      <c r="AR11" s="43"/>
      <c r="AS11" s="43"/>
      <c r="AT11" s="43"/>
      <c r="BC11" s="43"/>
      <c r="BD11" s="43"/>
      <c r="BE11" s="43"/>
      <c r="BN11" s="43"/>
      <c r="BO11" s="43"/>
      <c r="BP11" s="43"/>
    </row>
    <row r="12" spans="1:68" x14ac:dyDescent="0.25">
      <c r="A12" s="4"/>
      <c r="B12" s="33" t="s">
        <v>67</v>
      </c>
      <c r="C12" s="81">
        <v>23.6952</v>
      </c>
      <c r="D12" s="81">
        <v>6.7362000000000002</v>
      </c>
      <c r="E12" s="81">
        <v>24.203700000000001</v>
      </c>
      <c r="F12" s="81">
        <v>23.920500000000001</v>
      </c>
      <c r="G12" s="81">
        <v>15.7464</v>
      </c>
      <c r="H12" s="81">
        <v>6.9699</v>
      </c>
      <c r="I12" s="81">
        <v>16.2852</v>
      </c>
      <c r="J12" s="81">
        <v>15.981400000000001</v>
      </c>
      <c r="K12" s="104">
        <f t="shared" si="0"/>
        <v>7.6395749365069807E-2</v>
      </c>
      <c r="L12" s="104">
        <f t="shared" si="1"/>
        <v>4.2814466506324554E-2</v>
      </c>
      <c r="M12" s="70">
        <f t="shared" si="2"/>
        <v>0.5604299566685117</v>
      </c>
      <c r="O12" s="33" t="s">
        <v>67</v>
      </c>
      <c r="P12" s="105">
        <v>15.628299999999999</v>
      </c>
      <c r="Q12" s="105">
        <v>1.046</v>
      </c>
      <c r="R12" s="105">
        <v>15.6432</v>
      </c>
      <c r="S12" s="105">
        <v>15.6373</v>
      </c>
      <c r="T12" s="105">
        <v>25.239699999999999</v>
      </c>
      <c r="U12" s="105">
        <v>1.1071</v>
      </c>
      <c r="V12" s="105">
        <v>25.255299999999998</v>
      </c>
      <c r="W12" s="105">
        <v>25.248899999999999</v>
      </c>
      <c r="X12" s="104">
        <f t="shared" si="3"/>
        <v>1.4167804953703143E-2</v>
      </c>
      <c r="Y12" s="104">
        <f t="shared" si="4"/>
        <v>5.7107021548554113E-3</v>
      </c>
      <c r="Z12" s="70">
        <f t="shared" si="5"/>
        <v>0.4030760003766683</v>
      </c>
      <c r="AG12" s="43"/>
      <c r="AH12" s="43"/>
      <c r="AI12" s="43"/>
      <c r="AR12" s="43"/>
      <c r="AS12" s="43"/>
      <c r="AT12" s="43"/>
      <c r="BC12" s="43"/>
      <c r="BD12" s="43"/>
      <c r="BE12" s="43"/>
      <c r="BN12" s="43"/>
      <c r="BO12" s="43"/>
      <c r="BP12" s="43"/>
    </row>
    <row r="13" spans="1:68" x14ac:dyDescent="0.25">
      <c r="B13" s="33" t="s">
        <v>69</v>
      </c>
      <c r="C13" s="81">
        <v>15.5573</v>
      </c>
      <c r="D13" s="81">
        <v>4.3278999999999996</v>
      </c>
      <c r="E13" s="81">
        <v>15.8604</v>
      </c>
      <c r="F13" s="81">
        <v>15.702299999999999</v>
      </c>
      <c r="G13" s="81">
        <v>17.0245</v>
      </c>
      <c r="H13" s="81">
        <v>5.7849000000000004</v>
      </c>
      <c r="I13" s="81">
        <v>17.430900000000001</v>
      </c>
      <c r="J13" s="81">
        <v>17.217400000000001</v>
      </c>
      <c r="K13" s="104">
        <f t="shared" ref="K13:K16" si="6">AVERAGE((E13-C13)/D13,(I13-G13)/H13)</f>
        <v>7.0142914136232623E-2</v>
      </c>
      <c r="L13" s="104">
        <f t="shared" ref="L13:L16" si="7">AVERAGE((E13-F13)/D13,(I13-J13)/H13)</f>
        <v>3.6718423857946797E-2</v>
      </c>
      <c r="M13" s="70">
        <f t="shared" ref="M13:M16" si="8">L13/K13</f>
        <v>0.52348015918802182</v>
      </c>
      <c r="O13" s="33" t="s">
        <v>69</v>
      </c>
      <c r="P13" s="105">
        <v>23.191700000000001</v>
      </c>
      <c r="Q13" s="105">
        <v>1.0450999999999999</v>
      </c>
      <c r="R13" s="105">
        <v>23.209399999999999</v>
      </c>
      <c r="S13" s="105">
        <v>23.2013</v>
      </c>
      <c r="T13" s="105">
        <v>25.5092</v>
      </c>
      <c r="U13" s="105">
        <v>1.05</v>
      </c>
      <c r="V13" s="105">
        <v>25.526900000000001</v>
      </c>
      <c r="W13" s="105">
        <v>25.518799999999999</v>
      </c>
      <c r="X13" s="104">
        <f t="shared" si="3"/>
        <v>1.6896660606640135E-2</v>
      </c>
      <c r="Y13" s="104">
        <f t="shared" si="4"/>
        <v>7.7323701081242532E-3</v>
      </c>
      <c r="Z13" s="70">
        <f t="shared" si="5"/>
        <v>0.45762711864411526</v>
      </c>
      <c r="AG13" s="43"/>
      <c r="AH13" s="43"/>
      <c r="AI13" s="43"/>
      <c r="AR13" s="43"/>
      <c r="AS13" s="43"/>
      <c r="AT13" s="43"/>
      <c r="BC13" s="43"/>
      <c r="BD13" s="43"/>
      <c r="BE13" s="43"/>
      <c r="BN13" s="43"/>
      <c r="BO13" s="43"/>
      <c r="BP13" s="43"/>
    </row>
    <row r="14" spans="1:68" x14ac:dyDescent="0.25">
      <c r="B14" s="33" t="s">
        <v>70</v>
      </c>
      <c r="C14" s="81">
        <v>14.7166</v>
      </c>
      <c r="D14" s="81">
        <v>4.5270000000000001</v>
      </c>
      <c r="E14" s="81">
        <v>15.0504</v>
      </c>
      <c r="F14" s="81">
        <v>14.880100000000001</v>
      </c>
      <c r="G14" s="81">
        <v>22.409400000000002</v>
      </c>
      <c r="H14" s="81">
        <v>5.7328000000000001</v>
      </c>
      <c r="I14" s="81">
        <v>22.8308</v>
      </c>
      <c r="J14" s="81">
        <v>22.6187</v>
      </c>
      <c r="K14" s="104">
        <f t="shared" si="6"/>
        <v>7.3621101714826429E-2</v>
      </c>
      <c r="L14" s="104">
        <f t="shared" si="7"/>
        <v>3.7308179869213899E-2</v>
      </c>
      <c r="M14" s="70">
        <f t="shared" si="8"/>
        <v>0.50675932579395877</v>
      </c>
      <c r="O14" s="33" t="s">
        <v>70</v>
      </c>
      <c r="P14" s="105">
        <v>23.696400000000001</v>
      </c>
      <c r="Q14" s="105">
        <v>1.1956</v>
      </c>
      <c r="R14" s="105">
        <v>23.717199999999998</v>
      </c>
      <c r="S14" s="105">
        <v>23.707799999999999</v>
      </c>
      <c r="T14" s="105">
        <v>21.749400000000001</v>
      </c>
      <c r="U14" s="105">
        <v>1.0811999999999999</v>
      </c>
      <c r="V14" s="105">
        <v>21.7681</v>
      </c>
      <c r="W14" s="105">
        <v>21.759799999999998</v>
      </c>
      <c r="X14" s="104">
        <f t="shared" si="3"/>
        <v>1.734636013390679E-2</v>
      </c>
      <c r="Y14" s="104">
        <f t="shared" si="4"/>
        <v>7.7694084129173325E-3</v>
      </c>
      <c r="Z14" s="70">
        <f t="shared" si="5"/>
        <v>0.44789848434718776</v>
      </c>
      <c r="AG14" s="43"/>
      <c r="AH14" s="43"/>
      <c r="AI14" s="43"/>
      <c r="AR14" s="43"/>
      <c r="AS14" s="43"/>
      <c r="AT14" s="43"/>
      <c r="BC14" s="43"/>
      <c r="BD14" s="43"/>
      <c r="BE14" s="43"/>
      <c r="BN14" s="43"/>
      <c r="BO14" s="43"/>
      <c r="BP14" s="43"/>
    </row>
    <row r="15" spans="1:68" x14ac:dyDescent="0.25">
      <c r="B15" s="33" t="s">
        <v>72</v>
      </c>
      <c r="C15" s="81">
        <v>21.2699</v>
      </c>
      <c r="D15" s="81">
        <v>4.6779000000000002</v>
      </c>
      <c r="E15" s="81">
        <v>21.578600000000002</v>
      </c>
      <c r="F15" s="81">
        <v>21.413699999999999</v>
      </c>
      <c r="G15" s="81">
        <v>20.659600000000001</v>
      </c>
      <c r="H15" s="81">
        <v>5.0967000000000002</v>
      </c>
      <c r="I15" s="81">
        <v>21.000599999999999</v>
      </c>
      <c r="J15" s="81">
        <v>20.817299999999999</v>
      </c>
      <c r="K15" s="104">
        <f t="shared" si="6"/>
        <v>6.6448593557363184E-2</v>
      </c>
      <c r="L15" s="104">
        <f t="shared" si="7"/>
        <v>3.5607654006278001E-2</v>
      </c>
      <c r="M15" s="70">
        <f t="shared" si="8"/>
        <v>0.53586768507807359</v>
      </c>
      <c r="O15" s="33" t="s">
        <v>72</v>
      </c>
      <c r="P15" s="105">
        <v>22.410399999999999</v>
      </c>
      <c r="Q15" s="105">
        <v>1.034</v>
      </c>
      <c r="R15" s="105">
        <v>22.4268</v>
      </c>
      <c r="S15" s="105">
        <v>22.418800000000001</v>
      </c>
      <c r="T15" s="105">
        <v>26.773700000000002</v>
      </c>
      <c r="U15" s="81">
        <v>1.1182000000000001</v>
      </c>
      <c r="V15" s="105">
        <v>26.791399999999999</v>
      </c>
      <c r="W15" s="105">
        <v>26.782800000000002</v>
      </c>
      <c r="X15" s="104">
        <f t="shared" si="3"/>
        <v>1.5844872960030884E-2</v>
      </c>
      <c r="Y15" s="104">
        <f>AVERAGE((R15-S15)/Q15,(V15-W15)/U15)</f>
        <v>7.7139378809601856E-3</v>
      </c>
      <c r="Z15" s="70">
        <f t="shared" si="5"/>
        <v>0.48684125776323989</v>
      </c>
      <c r="AG15" s="43"/>
      <c r="AH15" s="43"/>
      <c r="AI15" s="43"/>
      <c r="AR15" s="43"/>
      <c r="AS15" s="43"/>
      <c r="AT15" s="43"/>
      <c r="BC15" s="43"/>
      <c r="BD15" s="43"/>
      <c r="BE15" s="43"/>
      <c r="BN15" s="43"/>
      <c r="BO15" s="43"/>
      <c r="BP15" s="43"/>
    </row>
    <row r="16" spans="1:68" ht="15.75" thickBot="1" x14ac:dyDescent="0.3">
      <c r="B16" s="34" t="s">
        <v>73</v>
      </c>
      <c r="C16" s="18">
        <v>22.07</v>
      </c>
      <c r="D16" s="18">
        <v>6.4561999999999999</v>
      </c>
      <c r="E16" s="18">
        <v>22.517800000000001</v>
      </c>
      <c r="F16" s="18">
        <v>22.280200000000001</v>
      </c>
      <c r="G16" s="18">
        <v>21.545200000000001</v>
      </c>
      <c r="H16" s="18">
        <v>7.0941999999999998</v>
      </c>
      <c r="I16" s="18">
        <v>22.041</v>
      </c>
      <c r="J16" s="18">
        <v>21.778300000000002</v>
      </c>
      <c r="K16" s="71">
        <f t="shared" si="6"/>
        <v>6.9623881424141554E-2</v>
      </c>
      <c r="L16" s="71">
        <f t="shared" si="7"/>
        <v>3.6916041979765946E-2</v>
      </c>
      <c r="M16" s="72">
        <f t="shared" si="8"/>
        <v>0.53022097051552186</v>
      </c>
      <c r="O16" s="34" t="s">
        <v>73</v>
      </c>
      <c r="P16" s="18"/>
      <c r="Q16" s="18"/>
      <c r="R16" s="18"/>
      <c r="S16" s="18"/>
      <c r="T16" s="18">
        <v>21.5456</v>
      </c>
      <c r="U16" s="18">
        <v>1.0881000000000001</v>
      </c>
      <c r="V16" s="18">
        <v>21.563600000000001</v>
      </c>
      <c r="W16" s="18">
        <v>21.555</v>
      </c>
      <c r="X16" s="71">
        <f>AVERAGE((V16-T16)/U16)</f>
        <v>1.6542597187759103E-2</v>
      </c>
      <c r="Y16" s="71">
        <f>AVERAGE((V16-W16)/U16)</f>
        <v>7.9036853230413321E-3</v>
      </c>
      <c r="Z16" s="72">
        <f>Y16/X16</f>
        <v>0.47777777777783048</v>
      </c>
      <c r="AG16" s="43"/>
      <c r="AH16" s="43"/>
      <c r="AI16" s="43"/>
      <c r="AR16" s="43"/>
      <c r="AS16" s="43"/>
      <c r="AT16" s="43"/>
      <c r="BC16" s="43"/>
      <c r="BD16" s="43"/>
      <c r="BE16" s="43"/>
      <c r="BN16" s="43"/>
      <c r="BO16" s="43"/>
      <c r="BP16" s="43"/>
    </row>
    <row r="17" spans="2:68" x14ac:dyDescent="0.25">
      <c r="K17" s="47"/>
      <c r="L17" s="47"/>
      <c r="M17" s="47"/>
      <c r="X17" s="47"/>
      <c r="Y17" s="47"/>
      <c r="Z17" s="47"/>
      <c r="AG17" s="43"/>
      <c r="AH17" s="43"/>
      <c r="AI17" s="43"/>
      <c r="AR17" s="43"/>
      <c r="AS17" s="43"/>
      <c r="AT17" s="43"/>
      <c r="BC17" s="43"/>
      <c r="BD17" s="43"/>
      <c r="BE17" s="43"/>
      <c r="BN17" s="43"/>
      <c r="BO17" s="43"/>
      <c r="BP17" s="43"/>
    </row>
    <row r="18" spans="2:68" x14ac:dyDescent="0.25">
      <c r="K18" s="47"/>
      <c r="L18" s="47"/>
      <c r="M18" s="47"/>
      <c r="X18" s="47"/>
      <c r="Y18" s="47"/>
      <c r="Z18" s="47"/>
      <c r="AG18" s="43"/>
      <c r="AH18" s="43"/>
      <c r="AI18" s="43"/>
      <c r="AR18" s="43"/>
      <c r="AS18" s="43"/>
      <c r="AT18" s="43"/>
      <c r="BC18" s="43"/>
      <c r="BD18" s="43"/>
      <c r="BE18" s="43"/>
      <c r="BN18" s="43"/>
      <c r="BO18" s="43"/>
      <c r="BP18" s="43"/>
    </row>
    <row r="19" spans="2:68" ht="15.75" thickBot="1" x14ac:dyDescent="0.3">
      <c r="B19" s="2" t="s">
        <v>109</v>
      </c>
      <c r="C19" s="2" t="s">
        <v>36</v>
      </c>
      <c r="D19" s="2" t="s">
        <v>37</v>
      </c>
      <c r="E19" s="2" t="s">
        <v>38</v>
      </c>
      <c r="K19" s="47"/>
      <c r="L19" s="47"/>
      <c r="M19" s="47"/>
      <c r="O19" s="2" t="s">
        <v>109</v>
      </c>
      <c r="P19" s="2" t="s">
        <v>36</v>
      </c>
      <c r="Q19" s="2" t="s">
        <v>37</v>
      </c>
      <c r="R19" s="2" t="s">
        <v>38</v>
      </c>
      <c r="X19" s="47"/>
      <c r="Y19" s="47"/>
      <c r="Z19" s="47"/>
      <c r="AG19" s="43"/>
      <c r="AH19" s="43"/>
      <c r="AI19" s="43"/>
      <c r="AR19" s="43"/>
      <c r="AS19" s="43"/>
      <c r="AT19" s="43"/>
      <c r="BC19" s="43"/>
      <c r="BD19" s="43"/>
      <c r="BE19" s="43"/>
      <c r="BN19" s="43"/>
      <c r="BO19" s="43"/>
      <c r="BP19" s="43"/>
    </row>
    <row r="20" spans="2:68" x14ac:dyDescent="0.25">
      <c r="B20" s="30" t="s">
        <v>84</v>
      </c>
      <c r="C20" s="68">
        <f>AVERAGE(K5:K6)</f>
        <v>6.7095898941491428E-2</v>
      </c>
      <c r="D20" s="68">
        <f t="shared" ref="D20:E20" si="9">AVERAGE(L5:L6)</f>
        <v>4.2930990891296886E-2</v>
      </c>
      <c r="E20" s="69">
        <f t="shared" si="9"/>
        <v>0.63982609745750407</v>
      </c>
      <c r="K20" s="47"/>
      <c r="L20" s="47"/>
      <c r="M20" s="47"/>
      <c r="O20" s="30" t="s">
        <v>84</v>
      </c>
      <c r="P20" s="68">
        <f>AVERAGE(X5:X6)</f>
        <v>1.4277692188021052E-2</v>
      </c>
      <c r="Q20" s="68">
        <f t="shared" ref="Q20" si="10">AVERAGE(Y5:Y6)</f>
        <v>5.2005849204302757E-3</v>
      </c>
      <c r="R20" s="69">
        <f t="shared" ref="R20" si="11">AVERAGE(Z5:Z6)</f>
        <v>0.36424823075547286</v>
      </c>
      <c r="X20" s="47"/>
      <c r="Y20" s="47"/>
      <c r="Z20" s="47"/>
      <c r="AG20" s="43"/>
      <c r="AH20" s="43"/>
      <c r="AI20" s="43"/>
      <c r="AR20" s="43"/>
      <c r="AS20" s="43"/>
      <c r="AT20" s="43"/>
      <c r="BC20" s="43"/>
      <c r="BD20" s="43"/>
      <c r="BE20" s="43"/>
      <c r="BN20" s="43"/>
      <c r="BO20" s="43"/>
      <c r="BP20" s="43"/>
    </row>
    <row r="21" spans="2:68" x14ac:dyDescent="0.25">
      <c r="B21" s="33" t="s">
        <v>85</v>
      </c>
      <c r="C21" s="47">
        <f>AVERAGE(K7:K8)</f>
        <v>6.1396747884161322E-2</v>
      </c>
      <c r="D21" s="47">
        <f t="shared" ref="D21:E21" si="12">AVERAGE(L7:L8)</f>
        <v>3.7430399258736202E-2</v>
      </c>
      <c r="E21" s="70">
        <f t="shared" si="12"/>
        <v>0.60965379244531626</v>
      </c>
      <c r="K21" s="47"/>
      <c r="L21" s="47"/>
      <c r="M21" s="47"/>
      <c r="O21" s="33" t="s">
        <v>85</v>
      </c>
      <c r="P21" s="47">
        <f>AVERAGE(X7:X8)</f>
        <v>1.707299263920492E-2</v>
      </c>
      <c r="Q21" s="47">
        <f t="shared" ref="Q21" si="13">AVERAGE(Y7:Y8)</f>
        <v>7.7011937781254289E-3</v>
      </c>
      <c r="R21" s="70">
        <f t="shared" ref="R21" si="14">AVERAGE(Z7:Z8)</f>
        <v>0.45100746037483186</v>
      </c>
      <c r="X21" s="47"/>
      <c r="Y21" s="47"/>
      <c r="Z21" s="47"/>
      <c r="AG21" s="43"/>
      <c r="AH21" s="43"/>
      <c r="AI21" s="43"/>
      <c r="AR21" s="43"/>
      <c r="AS21" s="43"/>
      <c r="AT21" s="43"/>
      <c r="BC21" s="43"/>
      <c r="BD21" s="43"/>
      <c r="BE21" s="43"/>
      <c r="BN21" s="43"/>
      <c r="BO21" s="43"/>
      <c r="BP21" s="43"/>
    </row>
    <row r="22" spans="2:68" x14ac:dyDescent="0.25">
      <c r="B22" s="33" t="s">
        <v>86</v>
      </c>
      <c r="C22" s="47">
        <f>AVERAGE(K9:K10)</f>
        <v>5.8394654106973462E-2</v>
      </c>
      <c r="D22" s="47">
        <f t="shared" ref="D22:E22" si="15">AVERAGE(L9:L10)</f>
        <v>3.663233601882758E-2</v>
      </c>
      <c r="E22" s="70">
        <f t="shared" si="15"/>
        <v>0.62731499436343841</v>
      </c>
      <c r="K22" s="47"/>
      <c r="L22" s="47"/>
      <c r="M22" s="47"/>
      <c r="O22" s="33" t="s">
        <v>86</v>
      </c>
      <c r="P22" s="47">
        <f>AVERAGE(X9:X10)</f>
        <v>1.5348822231686635E-2</v>
      </c>
      <c r="Q22" s="47">
        <f t="shared" ref="Q22" si="16">AVERAGE(Y9:Y10)</f>
        <v>7.4830232813849753E-3</v>
      </c>
      <c r="R22" s="70">
        <f t="shared" ref="R22" si="17">AVERAGE(Z9:Z10)</f>
        <v>0.48758677133847378</v>
      </c>
      <c r="X22" s="47"/>
      <c r="Y22" s="47"/>
      <c r="Z22" s="47"/>
      <c r="AG22" s="43"/>
      <c r="AH22" s="43"/>
      <c r="AI22" s="43"/>
      <c r="AR22" s="43"/>
      <c r="AS22" s="43"/>
      <c r="AT22" s="43"/>
      <c r="BC22" s="43"/>
      <c r="BD22" s="43"/>
      <c r="BE22" s="43"/>
      <c r="BN22" s="43"/>
      <c r="BO22" s="43"/>
      <c r="BP22" s="43"/>
    </row>
    <row r="23" spans="2:68" x14ac:dyDescent="0.25">
      <c r="B23" s="33" t="s">
        <v>87</v>
      </c>
      <c r="C23" s="47">
        <f>AVERAGE(K11:K12)</f>
        <v>7.7522746307014778E-2</v>
      </c>
      <c r="D23" s="47">
        <f t="shared" ref="D23:E23" si="18">AVERAGE(L11:L12)</f>
        <v>4.3512202469503103E-2</v>
      </c>
      <c r="E23" s="70">
        <f t="shared" si="18"/>
        <v>0.56127081276170254</v>
      </c>
      <c r="K23" s="47"/>
      <c r="L23" s="47"/>
      <c r="M23" s="47"/>
      <c r="O23" s="33" t="s">
        <v>87</v>
      </c>
      <c r="P23" s="47">
        <f>AVERAGE(X11:X12)</f>
        <v>1.4352045186973155E-2</v>
      </c>
      <c r="Q23" s="47">
        <f t="shared" ref="Q23" si="19">AVERAGE(Y11:Y12)</f>
        <v>5.8146085455018049E-3</v>
      </c>
      <c r="R23" s="70">
        <f t="shared" ref="R23" si="20">AVERAGE(Z11:Z12)</f>
        <v>0.40511528162730825</v>
      </c>
      <c r="X23" s="47"/>
      <c r="Y23" s="47"/>
      <c r="Z23" s="47"/>
      <c r="AG23" s="43"/>
      <c r="AH23" s="43"/>
      <c r="AI23" s="43"/>
      <c r="AR23" s="43"/>
      <c r="AS23" s="43"/>
      <c r="AT23" s="43"/>
      <c r="BC23" s="43"/>
      <c r="BD23" s="43"/>
      <c r="BE23" s="43"/>
      <c r="BN23" s="43"/>
      <c r="BO23" s="43"/>
      <c r="BP23" s="43"/>
    </row>
    <row r="24" spans="2:68" x14ac:dyDescent="0.25">
      <c r="B24" s="33" t="s">
        <v>88</v>
      </c>
      <c r="C24" s="47">
        <f>AVERAGE(K13:K14)</f>
        <v>7.1882007925529526E-2</v>
      </c>
      <c r="D24" s="47">
        <f t="shared" ref="D24:E24" si="21">AVERAGE(L13:L14)</f>
        <v>3.7013301863580345E-2</v>
      </c>
      <c r="E24" s="70">
        <f t="shared" si="21"/>
        <v>0.51511974249099035</v>
      </c>
      <c r="O24" s="33" t="s">
        <v>88</v>
      </c>
      <c r="P24" s="47">
        <f>AVERAGE(X13:X14)</f>
        <v>1.7121510370273464E-2</v>
      </c>
      <c r="Q24" s="47">
        <f t="shared" ref="Q24" si="22">AVERAGE(Y13:Y14)</f>
        <v>7.7508892605207928E-3</v>
      </c>
      <c r="R24" s="70">
        <f t="shared" ref="R24" si="23">AVERAGE(Z13:Z14)</f>
        <v>0.45276280149565151</v>
      </c>
    </row>
    <row r="25" spans="2:68" ht="15.75" thickBot="1" x14ac:dyDescent="0.3">
      <c r="B25" s="34" t="s">
        <v>89</v>
      </c>
      <c r="C25" s="71">
        <f>AVERAGE(K15:K16)</f>
        <v>6.8036237490752369E-2</v>
      </c>
      <c r="D25" s="71">
        <f t="shared" ref="D25:E25" si="24">AVERAGE(L15:L16)</f>
        <v>3.626184799302197E-2</v>
      </c>
      <c r="E25" s="72">
        <f t="shared" si="24"/>
        <v>0.53304432779679778</v>
      </c>
      <c r="O25" s="34" t="s">
        <v>89</v>
      </c>
      <c r="P25" s="71">
        <f>AVERAGE(X15:X16)</f>
        <v>1.6193735073894995E-2</v>
      </c>
      <c r="Q25" s="71">
        <f t="shared" ref="Q25" si="25">AVERAGE(Y15:Y16)</f>
        <v>7.8088116020007588E-3</v>
      </c>
      <c r="R25" s="72">
        <f t="shared" ref="R25" si="26">AVERAGE(Z15:Z16)</f>
        <v>0.48230951777053521</v>
      </c>
    </row>
  </sheetData>
  <mergeCells count="2">
    <mergeCell ref="BF3:BP3"/>
    <mergeCell ref="AU3:BE3"/>
  </mergeCells>
  <pageMargins left="0.7" right="0.7" top="0.75" bottom="0.75" header="0.3" footer="0.3"/>
  <pageSetup paperSize="9" orientation="portrait" r:id="rId1"/>
  <headerFooter>
    <oddHeader>&amp;R&amp;"Calibri"&amp;10&amp;K000000 PUBLIC / CYHOEDDUS&amp;1#_x000D_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56381-B88B-465B-9C19-C9E02C63032C}">
  <dimension ref="A1:BJ52"/>
  <sheetViews>
    <sheetView topLeftCell="A23" workbookViewId="0">
      <selection activeCell="H48" sqref="H48"/>
    </sheetView>
  </sheetViews>
  <sheetFormatPr defaultRowHeight="15" x14ac:dyDescent="0.25"/>
  <cols>
    <col min="1" max="1" width="18.5703125" customWidth="1"/>
    <col min="2" max="2" width="7.85546875" customWidth="1"/>
    <col min="4" max="4" width="9" customWidth="1"/>
    <col min="35" max="35" width="14.42578125" customWidth="1"/>
    <col min="36" max="36" width="16.85546875" customWidth="1"/>
    <col min="37" max="37" width="14.42578125" customWidth="1"/>
    <col min="43" max="43" width="13.140625" customWidth="1"/>
    <col min="44" max="44" width="14.5703125" customWidth="1"/>
    <col min="45" max="45" width="15.42578125" customWidth="1"/>
  </cols>
  <sheetData>
    <row r="1" spans="1:62" x14ac:dyDescent="0.25">
      <c r="Q1" s="2"/>
      <c r="R1" s="46"/>
      <c r="S1" s="46"/>
      <c r="T1" s="43"/>
      <c r="U1" s="43"/>
      <c r="V1" s="43"/>
      <c r="W1" s="43"/>
      <c r="X1" s="43"/>
      <c r="Y1" s="43"/>
      <c r="Z1" s="43"/>
      <c r="AA1" s="43"/>
      <c r="AB1" s="43"/>
      <c r="AC1" s="107"/>
      <c r="AD1" s="107"/>
      <c r="AE1" s="73" t="s">
        <v>39</v>
      </c>
      <c r="AF1" s="112"/>
      <c r="AG1" s="112"/>
      <c r="AH1" s="107"/>
      <c r="AI1" s="107"/>
      <c r="AJ1" s="107"/>
      <c r="AK1" s="107"/>
      <c r="AL1" s="107"/>
      <c r="AM1" s="73" t="s">
        <v>210</v>
      </c>
      <c r="AN1" s="81"/>
      <c r="AO1" s="81"/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</row>
    <row r="2" spans="1:62" ht="15.75" thickBot="1" x14ac:dyDescent="0.3">
      <c r="A2" s="2"/>
      <c r="B2" s="2"/>
      <c r="C2" s="2"/>
      <c r="D2" s="2" t="s">
        <v>138</v>
      </c>
      <c r="E2" s="2"/>
      <c r="F2" s="2"/>
      <c r="G2" s="2"/>
      <c r="H2" s="154" t="s">
        <v>139</v>
      </c>
      <c r="I2" s="154"/>
      <c r="J2" s="154"/>
      <c r="K2" s="154"/>
      <c r="L2" s="48"/>
      <c r="M2" s="48"/>
      <c r="N2" s="48"/>
      <c r="O2" s="48"/>
      <c r="Q2" s="2" t="s">
        <v>150</v>
      </c>
      <c r="R2" t="s">
        <v>208</v>
      </c>
      <c r="AC2" s="81"/>
      <c r="AD2" s="107"/>
      <c r="AE2" s="73" t="s">
        <v>150</v>
      </c>
      <c r="AF2" s="81" t="s">
        <v>208</v>
      </c>
      <c r="AG2" s="81"/>
      <c r="AH2" s="81"/>
      <c r="AI2" s="81"/>
      <c r="AJ2" s="81"/>
      <c r="AK2" s="81"/>
      <c r="AL2" s="107"/>
      <c r="AM2" s="73" t="s">
        <v>150</v>
      </c>
      <c r="AN2" s="81" t="s">
        <v>208</v>
      </c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</row>
    <row r="3" spans="1:62" ht="15.75" thickBot="1" x14ac:dyDescent="0.3">
      <c r="A3" s="30" t="s">
        <v>141</v>
      </c>
      <c r="B3" s="31">
        <v>0</v>
      </c>
      <c r="C3" s="31">
        <v>2</v>
      </c>
      <c r="D3" s="31">
        <v>4</v>
      </c>
      <c r="E3" s="31">
        <v>6</v>
      </c>
      <c r="F3" s="31">
        <v>8</v>
      </c>
      <c r="G3" s="31">
        <v>0</v>
      </c>
      <c r="H3" s="31">
        <v>2</v>
      </c>
      <c r="I3" s="31">
        <v>4</v>
      </c>
      <c r="J3" s="31">
        <v>6</v>
      </c>
      <c r="K3" s="32">
        <v>8</v>
      </c>
      <c r="L3" s="2"/>
      <c r="M3" s="2"/>
      <c r="N3" s="2"/>
      <c r="O3" s="2"/>
      <c r="P3" s="2"/>
      <c r="Q3" s="120"/>
      <c r="R3" s="121" t="s">
        <v>57</v>
      </c>
      <c r="S3" s="121" t="s">
        <v>58</v>
      </c>
      <c r="T3" s="121" t="s">
        <v>60</v>
      </c>
      <c r="U3" s="121" t="s">
        <v>61</v>
      </c>
      <c r="V3" s="121" t="s">
        <v>63</v>
      </c>
      <c r="W3" s="121" t="s">
        <v>64</v>
      </c>
      <c r="X3" s="121" t="s">
        <v>66</v>
      </c>
      <c r="Y3" s="121" t="s">
        <v>67</v>
      </c>
      <c r="Z3" s="121" t="s">
        <v>69</v>
      </c>
      <c r="AA3" s="121" t="s">
        <v>70</v>
      </c>
      <c r="AB3" s="121" t="s">
        <v>72</v>
      </c>
      <c r="AC3" s="122" t="s">
        <v>73</v>
      </c>
      <c r="AD3" s="107"/>
      <c r="AE3" s="30"/>
      <c r="AF3" s="31" t="s">
        <v>84</v>
      </c>
      <c r="AG3" s="31" t="s">
        <v>85</v>
      </c>
      <c r="AH3" s="31" t="s">
        <v>86</v>
      </c>
      <c r="AI3" s="31" t="s">
        <v>87</v>
      </c>
      <c r="AJ3" s="31" t="s">
        <v>88</v>
      </c>
      <c r="AK3" s="32" t="s">
        <v>89</v>
      </c>
      <c r="AL3" s="107"/>
      <c r="AM3" s="30"/>
      <c r="AN3" s="31" t="s">
        <v>84</v>
      </c>
      <c r="AO3" s="31" t="s">
        <v>85</v>
      </c>
      <c r="AP3" s="31" t="s">
        <v>86</v>
      </c>
      <c r="AQ3" s="31" t="s">
        <v>87</v>
      </c>
      <c r="AR3" s="31" t="s">
        <v>88</v>
      </c>
      <c r="AS3" s="32" t="s">
        <v>89</v>
      </c>
      <c r="AT3" s="81"/>
      <c r="AU3" s="108"/>
      <c r="AV3" s="109"/>
      <c r="AW3" s="109"/>
      <c r="AX3" s="109"/>
      <c r="AY3" s="109"/>
      <c r="AZ3" s="109"/>
      <c r="BA3" s="109"/>
      <c r="BB3" s="109"/>
      <c r="BC3" s="109"/>
      <c r="BD3" s="81"/>
      <c r="BE3" s="81"/>
      <c r="BF3" s="81"/>
      <c r="BG3" s="81"/>
      <c r="BH3" s="81"/>
      <c r="BI3" s="81"/>
      <c r="BJ3" s="81"/>
    </row>
    <row r="4" spans="1:62" x14ac:dyDescent="0.25">
      <c r="A4" s="33" t="s">
        <v>57</v>
      </c>
      <c r="B4" s="73">
        <v>0</v>
      </c>
      <c r="C4" s="81">
        <v>3.7662467542590639</v>
      </c>
      <c r="D4" s="81">
        <v>4.6922612806426587</v>
      </c>
      <c r="E4" s="81">
        <v>4.8945956841234617</v>
      </c>
      <c r="F4" s="81">
        <v>4.7344227616656838</v>
      </c>
      <c r="G4" s="81">
        <v>0</v>
      </c>
      <c r="H4" s="81">
        <v>8.5469099977281374E-2</v>
      </c>
      <c r="I4" s="81">
        <v>0.10648355635786569</v>
      </c>
      <c r="J4" s="81">
        <v>0.1110752202843963</v>
      </c>
      <c r="K4" s="10">
        <v>0.10744034545636863</v>
      </c>
      <c r="Q4" s="30" t="s">
        <v>142</v>
      </c>
      <c r="R4" s="115">
        <f>'VFA day 8'!D16/1000</f>
        <v>2.7963951165647218</v>
      </c>
      <c r="S4" s="115">
        <f>'VFA day 8'!J16/1000</f>
        <v>2.9582216935903687</v>
      </c>
      <c r="T4" s="115">
        <f>'VFA day 8'!D28/1000</f>
        <v>7.1833025415860723</v>
      </c>
      <c r="U4" s="115">
        <f>'VFA day 8'!J28/1000</f>
        <v>8.1674543877366119</v>
      </c>
      <c r="V4" s="115">
        <f>'VFA day 8'!D40/1000</f>
        <v>5.7494369831939691</v>
      </c>
      <c r="W4" s="115">
        <f>'VFA day 8'!J40/1000</f>
        <v>6.2917905475009404</v>
      </c>
      <c r="X4" s="115">
        <f>'VFA day 8'!D64/1000</f>
        <v>2.4742987491764183</v>
      </c>
      <c r="Y4" s="115">
        <f>'VFA day 8'!J64/1000</f>
        <v>2.6983222958364457</v>
      </c>
      <c r="Z4" s="115">
        <f>'VFA day 8'!D76/1000</f>
        <v>6.6589237717993077</v>
      </c>
      <c r="AA4" s="115">
        <f>'VFA day 8'!J76/1000</f>
        <v>6.8697237063300962</v>
      </c>
      <c r="AB4" s="115">
        <f>'VFA day 8'!D88/1000</f>
        <v>5.8297255053424024</v>
      </c>
      <c r="AC4" s="116">
        <f>'VFA day 8'!J88/1000</f>
        <v>6.1292014270927844</v>
      </c>
      <c r="AD4" s="107"/>
      <c r="AE4" s="33" t="s">
        <v>142</v>
      </c>
      <c r="AF4" s="110">
        <f>AVERAGE(R4:S4)</f>
        <v>2.877308405077545</v>
      </c>
      <c r="AG4" s="110">
        <f>AVERAGE(T4:U4)</f>
        <v>7.6753784646613425</v>
      </c>
      <c r="AH4" s="110">
        <f>AVERAGE(V4:W4)</f>
        <v>6.0206137653474547</v>
      </c>
      <c r="AI4" s="110">
        <f>AVERAGE(X4:Y4)</f>
        <v>2.586310522506432</v>
      </c>
      <c r="AJ4" s="110">
        <f>AVERAGE(Z4:AA4)</f>
        <v>6.764323739064702</v>
      </c>
      <c r="AK4" s="117">
        <f>AVERAGE(AB4:AC4)</f>
        <v>5.9794634662175934</v>
      </c>
      <c r="AL4" s="107"/>
      <c r="AM4" s="33" t="s">
        <v>142</v>
      </c>
      <c r="AN4" s="110">
        <f>_xlfn.STDEV.P(R4:S4)</f>
        <v>8.0913288512823422E-2</v>
      </c>
      <c r="AO4" s="110">
        <f>_xlfn.STDEV.P(T4:U4)</f>
        <v>0.49207592307526982</v>
      </c>
      <c r="AP4" s="110">
        <f>_xlfn.STDEV.P(V4:W4)</f>
        <v>0.27117678215348562</v>
      </c>
      <c r="AQ4" s="110">
        <f>_xlfn.STDEV.P(X4:Y4)</f>
        <v>0.11201177333001366</v>
      </c>
      <c r="AR4" s="110">
        <f>_xlfn.STDEV.P(Z4:AA4)</f>
        <v>0.10539996726539425</v>
      </c>
      <c r="AS4" s="117">
        <f>_xlfn.STDEV.P(AB4:AC4)</f>
        <v>0.14973796087519098</v>
      </c>
      <c r="AT4" s="81"/>
      <c r="AU4" s="108"/>
      <c r="AV4" s="109"/>
      <c r="AW4" s="109"/>
      <c r="AX4" s="109"/>
      <c r="AY4" s="109"/>
      <c r="AZ4" s="109"/>
      <c r="BA4" s="109"/>
      <c r="BB4" s="109"/>
      <c r="BC4" s="109"/>
      <c r="BD4" s="81"/>
      <c r="BE4" s="81"/>
      <c r="BF4" s="81"/>
      <c r="BG4" s="81"/>
      <c r="BH4" s="81"/>
      <c r="BI4" s="81"/>
      <c r="BJ4" s="81"/>
    </row>
    <row r="5" spans="1:62" x14ac:dyDescent="0.25">
      <c r="A5" s="33" t="s">
        <v>58</v>
      </c>
      <c r="B5" s="73">
        <v>0</v>
      </c>
      <c r="C5" s="81">
        <v>3.6454034256452479</v>
      </c>
      <c r="D5" s="81">
        <v>4.8059402513568017</v>
      </c>
      <c r="E5" s="81">
        <v>4.8937087582124468</v>
      </c>
      <c r="F5" s="81">
        <v>5.2048375291264977</v>
      </c>
      <c r="G5" s="81">
        <v>0</v>
      </c>
      <c r="H5" s="81">
        <v>8.2823904399904627E-2</v>
      </c>
      <c r="I5" s="81">
        <v>0.10919140886569333</v>
      </c>
      <c r="J5" s="81">
        <v>0.11118551749301148</v>
      </c>
      <c r="K5" s="10">
        <v>0.11825439206446826</v>
      </c>
      <c r="Q5" s="33" t="s">
        <v>143</v>
      </c>
      <c r="R5" s="110">
        <f>'VFA day 8'!D17/1000</f>
        <v>0.29597665954851571</v>
      </c>
      <c r="S5" s="110">
        <f>'VFA day 8'!J17/1000</f>
        <v>0.40764917869681333</v>
      </c>
      <c r="T5" s="110">
        <f>'VFA day 8'!D29/1000</f>
        <v>2.3631023932772814</v>
      </c>
      <c r="U5" s="110">
        <f>'VFA day 8'!J29/1000</f>
        <v>2.5704161400811358</v>
      </c>
      <c r="V5" s="110">
        <f>'VFA day 8'!D41/1000</f>
        <v>1.3999496873440844</v>
      </c>
      <c r="W5" s="110">
        <f>'VFA day 8'!J41/1000</f>
        <v>1.5181804621030488</v>
      </c>
      <c r="X5" s="110">
        <f>'VFA day 8'!D65/1000</f>
        <v>0.33744231432807181</v>
      </c>
      <c r="Y5" s="110">
        <f>'VFA day 8'!J65/1000</f>
        <v>0.32434363517283171</v>
      </c>
      <c r="Z5" s="110">
        <f>'VFA day 8'!D77/1000</f>
        <v>2.2894501289043148</v>
      </c>
      <c r="AA5" s="110">
        <f>'VFA day 8'!J77/1000</f>
        <v>2.1474970013149681</v>
      </c>
      <c r="AB5" s="110">
        <f>'VFA day 8'!D89/1000</f>
        <v>1.2950166846652158</v>
      </c>
      <c r="AC5" s="117">
        <f>'VFA day 8'!J89/1000</f>
        <v>1.4499161811870662</v>
      </c>
      <c r="AD5" s="107"/>
      <c r="AE5" s="33" t="s">
        <v>143</v>
      </c>
      <c r="AF5" s="110">
        <f t="shared" ref="AF5:AF6" si="0">AVERAGE(R5:S5)</f>
        <v>0.35181291912266455</v>
      </c>
      <c r="AG5" s="110">
        <f t="shared" ref="AG5:AG11" si="1">AVERAGE(T5:U5)</f>
        <v>2.4667592666792086</v>
      </c>
      <c r="AH5" s="110">
        <f t="shared" ref="AH5:AH11" si="2">AVERAGE(V5:W5)</f>
        <v>1.4590650747235667</v>
      </c>
      <c r="AI5" s="110">
        <f t="shared" ref="AI5:AI7" si="3">AVERAGE(X5:Y5)</f>
        <v>0.33089297475045176</v>
      </c>
      <c r="AJ5" s="110">
        <f t="shared" ref="AJ5:AJ11" si="4">AVERAGE(Z5:AA5)</f>
        <v>2.2184735651096412</v>
      </c>
      <c r="AK5" s="117">
        <f t="shared" ref="AK5:AK11" si="5">AVERAGE(AB5:AC5)</f>
        <v>1.3724664329261409</v>
      </c>
      <c r="AL5" s="107"/>
      <c r="AM5" s="33" t="s">
        <v>143</v>
      </c>
      <c r="AN5" s="110">
        <f t="shared" ref="AN5:AN11" si="6">_xlfn.STDEV.P(R5:S5)</f>
        <v>5.5836259574148749E-2</v>
      </c>
      <c r="AO5" s="110">
        <f t="shared" ref="AO5:AO11" si="7">_xlfn.STDEV.P(T5:U5)</f>
        <v>0.1036568734019272</v>
      </c>
      <c r="AP5" s="110">
        <f t="shared" ref="AP5:AP11" si="8">_xlfn.STDEV.P(V5:W5)</f>
        <v>5.9115387379482187E-2</v>
      </c>
      <c r="AQ5" s="110">
        <f t="shared" ref="AQ5:AQ11" si="9">_xlfn.STDEV.P(X5:Y5)</f>
        <v>6.5493395776200503E-3</v>
      </c>
      <c r="AR5" s="110">
        <f t="shared" ref="AR5:AR11" si="10">_xlfn.STDEV.P(Z5:AA5)</f>
        <v>7.097656379467332E-2</v>
      </c>
      <c r="AS5" s="117">
        <f t="shared" ref="AS5:AS10" si="11">_xlfn.STDEV.P(AB5:AC5)</f>
        <v>7.7449748260925211E-2</v>
      </c>
      <c r="AT5" s="81"/>
      <c r="AU5" s="108"/>
      <c r="AV5" s="109"/>
      <c r="AW5" s="109"/>
      <c r="AX5" s="109"/>
      <c r="AY5" s="109"/>
      <c r="AZ5" s="109"/>
      <c r="BA5" s="109"/>
      <c r="BB5" s="109"/>
      <c r="BC5" s="109"/>
      <c r="BD5" s="81"/>
      <c r="BE5" s="81"/>
      <c r="BF5" s="81"/>
      <c r="BG5" s="81"/>
      <c r="BH5" s="81"/>
      <c r="BI5" s="81"/>
      <c r="BJ5" s="81"/>
    </row>
    <row r="6" spans="1:62" x14ac:dyDescent="0.25">
      <c r="A6" s="33" t="s">
        <v>60</v>
      </c>
      <c r="B6" s="73">
        <v>0</v>
      </c>
      <c r="C6" s="81">
        <v>5.6377554628200111</v>
      </c>
      <c r="D6" s="81">
        <v>9.7318153858539223</v>
      </c>
      <c r="E6" s="81">
        <v>9.4525131103620303</v>
      </c>
      <c r="F6" s="81">
        <v>13.324871316748371</v>
      </c>
      <c r="G6" s="81">
        <v>0</v>
      </c>
      <c r="H6" s="81">
        <v>0.12806436611554919</v>
      </c>
      <c r="I6" s="81">
        <v>0.22106293484384856</v>
      </c>
      <c r="J6" s="81">
        <v>0.21471844737868842</v>
      </c>
      <c r="K6" s="10">
        <v>0.3026809534404814</v>
      </c>
      <c r="Q6" s="33" t="s">
        <v>144</v>
      </c>
      <c r="R6" s="110">
        <f>'VFA day 8'!D18/1000</f>
        <v>0.18519462960971339</v>
      </c>
      <c r="S6" s="110">
        <f>'VFA day 8'!J18/1000</f>
        <v>0.20708697108590396</v>
      </c>
      <c r="T6" s="110">
        <f>'VFA day 8'!D30/1000</f>
        <v>0.12150781804261354</v>
      </c>
      <c r="U6" s="110">
        <f>'VFA day 8'!J30/1000</f>
        <v>0.13054032256775508</v>
      </c>
      <c r="V6" s="110">
        <f>'VFA day 8'!D42/1000</f>
        <v>6.9915376941381183E-2</v>
      </c>
      <c r="W6" s="110">
        <f>'VFA day 8'!J42/1000</f>
        <v>8.5224706645010972E-2</v>
      </c>
      <c r="X6" s="110">
        <f>'VFA day 8'!D66/1000</f>
        <v>0.19735341926500596</v>
      </c>
      <c r="Y6" s="110">
        <f>'VFA day 8'!J66/1000</f>
        <v>0.19811946899284499</v>
      </c>
      <c r="Z6" s="110">
        <f>'VFA day 8'!D78/1000</f>
        <v>0.14462366299875284</v>
      </c>
      <c r="AA6" s="110">
        <f>'VFA day 8'!J78/1000</f>
        <v>0.13734619058428207</v>
      </c>
      <c r="AB6" s="110">
        <f>'VFA day 8'!D90/1000</f>
        <v>8.2956659907711075E-2</v>
      </c>
      <c r="AC6" s="117">
        <f>'VFA day 8'!J90/1000</f>
        <v>9.7128579872733101E-2</v>
      </c>
      <c r="AD6" s="107"/>
      <c r="AE6" s="33" t="s">
        <v>144</v>
      </c>
      <c r="AF6" s="110">
        <f t="shared" si="0"/>
        <v>0.19614080034780867</v>
      </c>
      <c r="AG6" s="110">
        <f t="shared" si="1"/>
        <v>0.12602407030518431</v>
      </c>
      <c r="AH6" s="110">
        <f t="shared" si="2"/>
        <v>7.7570041793196071E-2</v>
      </c>
      <c r="AI6" s="110">
        <f t="shared" si="3"/>
        <v>0.19773644412892549</v>
      </c>
      <c r="AJ6" s="110">
        <f t="shared" si="4"/>
        <v>0.14098492679151747</v>
      </c>
      <c r="AK6" s="117">
        <f t="shared" si="5"/>
        <v>9.0042619890222081E-2</v>
      </c>
      <c r="AL6" s="107"/>
      <c r="AM6" s="33" t="s">
        <v>144</v>
      </c>
      <c r="AN6" s="110">
        <f t="shared" si="6"/>
        <v>1.0946170738095284E-2</v>
      </c>
      <c r="AO6" s="110">
        <f t="shared" si="7"/>
        <v>4.5162522625707691E-3</v>
      </c>
      <c r="AP6" s="110">
        <f t="shared" si="8"/>
        <v>7.6546648518148949E-3</v>
      </c>
      <c r="AQ6" s="110">
        <f t="shared" si="9"/>
        <v>3.8302486391951496E-4</v>
      </c>
      <c r="AR6" s="110">
        <f t="shared" si="10"/>
        <v>3.6387362072353852E-3</v>
      </c>
      <c r="AS6" s="117">
        <f t="shared" si="11"/>
        <v>7.0859599825110128E-3</v>
      </c>
      <c r="AT6" s="81"/>
      <c r="AU6" s="108"/>
      <c r="AV6" s="109"/>
      <c r="AW6" s="109"/>
      <c r="AX6" s="109"/>
      <c r="AY6" s="109"/>
      <c r="AZ6" s="109"/>
      <c r="BA6" s="109"/>
      <c r="BB6" s="109"/>
      <c r="BC6" s="109"/>
      <c r="BD6" s="81"/>
      <c r="BE6" s="81"/>
      <c r="BF6" s="81"/>
      <c r="BG6" s="81"/>
      <c r="BH6" s="81"/>
      <c r="BI6" s="81"/>
      <c r="BJ6" s="81"/>
    </row>
    <row r="7" spans="1:62" x14ac:dyDescent="0.25">
      <c r="A7" s="33" t="s">
        <v>61</v>
      </c>
      <c r="B7" s="73">
        <v>0</v>
      </c>
      <c r="C7" s="81">
        <v>5.9495152449234814</v>
      </c>
      <c r="D7" s="81">
        <v>10.035677604810905</v>
      </c>
      <c r="E7" s="81">
        <v>10.172475975466156</v>
      </c>
      <c r="F7" s="81">
        <v>15.158735771118208</v>
      </c>
      <c r="G7" s="81">
        <v>0</v>
      </c>
      <c r="H7" s="81">
        <v>0.13487952528843622</v>
      </c>
      <c r="I7" s="81">
        <v>0.22751558329725646</v>
      </c>
      <c r="J7" s="81">
        <v>0.23061689467047392</v>
      </c>
      <c r="K7" s="10">
        <v>0.34365876892673752</v>
      </c>
      <c r="Q7" s="33" t="s">
        <v>145</v>
      </c>
      <c r="R7" s="110">
        <f>'VFA day 8'!D19/1000</f>
        <v>0.19043103377020704</v>
      </c>
      <c r="S7" s="110">
        <f>'VFA day 8'!J19/1000</f>
        <v>0.20065417023573967</v>
      </c>
      <c r="T7" s="110">
        <f>'VFA day 8'!D31/1000</f>
        <v>0.63316099697087447</v>
      </c>
      <c r="U7" s="110">
        <f>'VFA day 8'!J31/1000</f>
        <v>0.92554269988510851</v>
      </c>
      <c r="V7" s="110">
        <f>'VFA day 8'!D43/1000</f>
        <v>1.6453878155448147</v>
      </c>
      <c r="W7" s="110">
        <f>'VFA day 8'!J43/1000</f>
        <v>1.6917327008552292</v>
      </c>
      <c r="X7" s="110">
        <f>'VFA day 8'!D67/1000</f>
        <v>0.1865996437724543</v>
      </c>
      <c r="Y7" s="110">
        <f>'VFA day 8'!J67/1000</f>
        <v>0.19985871950006426</v>
      </c>
      <c r="Z7" s="110">
        <f>'VFA day 8'!D79/1000</f>
        <v>0.85776701688687085</v>
      </c>
      <c r="AA7" s="110">
        <f>'VFA day 8'!J79/1000</f>
        <v>1.1447732047606229</v>
      </c>
      <c r="AB7" s="110">
        <f>'VFA day 8'!D91/1000</f>
        <v>1.3963436327251875</v>
      </c>
      <c r="AC7" s="117">
        <f>'VFA day 8'!J91/1000</f>
        <v>1.4452731422686684</v>
      </c>
      <c r="AD7" s="107"/>
      <c r="AE7" s="33" t="s">
        <v>145</v>
      </c>
      <c r="AF7" s="110">
        <f>AVERAGE(R7:S7)</f>
        <v>0.19554260200297335</v>
      </c>
      <c r="AG7" s="110">
        <f t="shared" si="1"/>
        <v>0.77935184842799154</v>
      </c>
      <c r="AH7" s="110">
        <f t="shared" si="2"/>
        <v>1.6685602582000221</v>
      </c>
      <c r="AI7" s="110">
        <f t="shared" si="3"/>
        <v>0.1932291816362593</v>
      </c>
      <c r="AJ7" s="110">
        <f t="shared" si="4"/>
        <v>1.001270110823747</v>
      </c>
      <c r="AK7" s="117">
        <f t="shared" si="5"/>
        <v>1.4208083874969279</v>
      </c>
      <c r="AL7" s="81"/>
      <c r="AM7" s="33" t="s">
        <v>145</v>
      </c>
      <c r="AN7" s="110">
        <f>_xlfn.STDEV.P(R7:S7)</f>
        <v>5.111568232766317E-3</v>
      </c>
      <c r="AO7" s="110">
        <f t="shared" si="7"/>
        <v>0.14619085145711644</v>
      </c>
      <c r="AP7" s="110">
        <f t="shared" si="8"/>
        <v>2.3172442655207237E-2</v>
      </c>
      <c r="AQ7" s="110">
        <f t="shared" si="9"/>
        <v>6.6295378638049768E-3</v>
      </c>
      <c r="AR7" s="110">
        <f t="shared" si="10"/>
        <v>0.14350309393687552</v>
      </c>
      <c r="AS7" s="117">
        <f t="shared" si="11"/>
        <v>2.4464754771740482E-2</v>
      </c>
      <c r="AT7" s="81"/>
      <c r="AU7" s="108"/>
      <c r="AV7" s="109"/>
      <c r="AW7" s="109"/>
      <c r="AX7" s="109"/>
      <c r="AY7" s="109"/>
      <c r="AZ7" s="109"/>
      <c r="BA7" s="109"/>
      <c r="BB7" s="109"/>
      <c r="BC7" s="109"/>
      <c r="BD7" s="81"/>
      <c r="BE7" s="81"/>
      <c r="BF7" s="81"/>
      <c r="BG7" s="81"/>
      <c r="BH7" s="81"/>
      <c r="BI7" s="81"/>
      <c r="BJ7" s="81"/>
    </row>
    <row r="8" spans="1:62" x14ac:dyDescent="0.25">
      <c r="A8" s="33" t="s">
        <v>63</v>
      </c>
      <c r="B8" s="73">
        <v>0</v>
      </c>
      <c r="C8" s="81">
        <v>5.8502378444311489</v>
      </c>
      <c r="D8" s="81">
        <v>9.4466679756475305</v>
      </c>
      <c r="E8" s="81">
        <v>10.7761094786567</v>
      </c>
      <c r="F8" s="81">
        <v>12.671724601764899</v>
      </c>
      <c r="G8" s="81">
        <v>0</v>
      </c>
      <c r="H8" s="81">
        <v>0.1328717474623467</v>
      </c>
      <c r="I8" s="81">
        <v>0.2145545728223168</v>
      </c>
      <c r="J8" s="81">
        <v>0.24474910855763665</v>
      </c>
      <c r="K8" s="10">
        <v>0.28780269041554296</v>
      </c>
      <c r="Q8" s="33" t="s">
        <v>146</v>
      </c>
      <c r="R8" s="110">
        <f>'VFA day 8'!D20/1000</f>
        <v>0.28395831682884692</v>
      </c>
      <c r="S8" s="110">
        <f>'VFA day 8'!J20/1000</f>
        <v>0.32415806827509874</v>
      </c>
      <c r="T8" s="110">
        <f>'VFA day 8'!D32/1000</f>
        <v>9.708726777358663E-2</v>
      </c>
      <c r="U8" s="110">
        <f>'VFA day 8'!J32/1000</f>
        <v>8.899594400005989E-2</v>
      </c>
      <c r="V8" s="110">
        <f>'VFA day 8'!D44/1000</f>
        <v>6.0612093937370874E-2</v>
      </c>
      <c r="W8" s="110">
        <f>'VFA day 8'!J44/1000</f>
        <v>8.1289921358605854E-2</v>
      </c>
      <c r="X8" s="110">
        <f>'VFA day 8'!D68/1000</f>
        <v>0.29989150302728806</v>
      </c>
      <c r="Y8" s="110">
        <f>'VFA day 8'!J68/1000</f>
        <v>0.29614170035062493</v>
      </c>
      <c r="Z8" s="110">
        <f>'VFA day 8'!D80/1000</f>
        <v>0.11052646785579869</v>
      </c>
      <c r="AA8" s="110">
        <f>'VFA day 8'!J80/1000</f>
        <v>0.11118819773991573</v>
      </c>
      <c r="AB8" s="110">
        <f>'VFA day 8'!D92/1000</f>
        <v>7.082267480877702E-2</v>
      </c>
      <c r="AC8" s="117">
        <f>'VFA day 8'!J92/1000</f>
        <v>7.9204586674259392E-2</v>
      </c>
      <c r="AD8" s="107"/>
      <c r="AE8" s="33" t="s">
        <v>146</v>
      </c>
      <c r="AF8" s="110">
        <f t="shared" ref="AF8:AF11" si="12">AVERAGE(R8:S8)</f>
        <v>0.30405819255197286</v>
      </c>
      <c r="AG8" s="110">
        <f t="shared" si="1"/>
        <v>9.3041605886823253E-2</v>
      </c>
      <c r="AH8" s="110">
        <f t="shared" si="2"/>
        <v>7.0951007647988368E-2</v>
      </c>
      <c r="AI8" s="110">
        <f>AVERAGE(X8:Y8)</f>
        <v>0.2980166016889565</v>
      </c>
      <c r="AJ8" s="110">
        <f t="shared" si="4"/>
        <v>0.1108573327978572</v>
      </c>
      <c r="AK8" s="117">
        <f t="shared" si="5"/>
        <v>7.5013630741518206E-2</v>
      </c>
      <c r="AL8" s="81"/>
      <c r="AM8" s="33" t="s">
        <v>146</v>
      </c>
      <c r="AN8" s="110">
        <f t="shared" si="6"/>
        <v>2.009987572312591E-2</v>
      </c>
      <c r="AO8" s="110">
        <f>_xlfn.STDEV.P(T8:U8)</f>
        <v>4.0456618867633701E-3</v>
      </c>
      <c r="AP8" s="110">
        <f t="shared" si="8"/>
        <v>1.0338913710617473E-2</v>
      </c>
      <c r="AQ8" s="110">
        <f t="shared" si="9"/>
        <v>1.8749013383315694E-3</v>
      </c>
      <c r="AR8" s="110">
        <f t="shared" si="10"/>
        <v>3.3086494205852163E-4</v>
      </c>
      <c r="AS8" s="117">
        <f t="shared" si="11"/>
        <v>4.1909559327411861E-3</v>
      </c>
      <c r="AT8" s="81"/>
      <c r="AU8" s="111"/>
      <c r="AV8" s="111"/>
      <c r="AW8" s="111"/>
      <c r="AX8" s="111"/>
      <c r="AY8" s="111"/>
      <c r="AZ8" s="111"/>
      <c r="BA8" s="111"/>
      <c r="BB8" s="111"/>
      <c r="BC8" s="111"/>
      <c r="BD8" s="81"/>
      <c r="BE8" s="81"/>
      <c r="BF8" s="81"/>
      <c r="BG8" s="81"/>
      <c r="BH8" s="81"/>
      <c r="BI8" s="81"/>
      <c r="BJ8" s="81"/>
    </row>
    <row r="9" spans="1:62" x14ac:dyDescent="0.25">
      <c r="A9" s="33" t="s">
        <v>64</v>
      </c>
      <c r="B9" s="73">
        <v>0</v>
      </c>
      <c r="C9" s="81">
        <v>5.9460226978475728</v>
      </c>
      <c r="D9" s="81">
        <v>9.7833134462562104</v>
      </c>
      <c r="E9" s="81">
        <v>11.05988004260395</v>
      </c>
      <c r="F9" s="81">
        <v>13.65130056611549</v>
      </c>
      <c r="G9" s="81">
        <v>0</v>
      </c>
      <c r="H9" s="81">
        <v>0.13502314334800777</v>
      </c>
      <c r="I9" s="81">
        <v>0.22216089661926947</v>
      </c>
      <c r="J9" s="81">
        <v>0.2511493555086603</v>
      </c>
      <c r="K9" s="10">
        <v>0.30999570753280081</v>
      </c>
      <c r="Q9" s="33" t="s">
        <v>147</v>
      </c>
      <c r="R9" s="110">
        <f>'VFA day 8'!D21/1000</f>
        <v>0</v>
      </c>
      <c r="S9" s="110">
        <f>'VFA day 8'!J21/1000</f>
        <v>0</v>
      </c>
      <c r="T9" s="110">
        <f>'VFA day 8'!D33/1000</f>
        <v>0.22326723701068021</v>
      </c>
      <c r="U9" s="110">
        <f>'VFA day 8'!J33/1000</f>
        <v>0.18863447578755177</v>
      </c>
      <c r="V9" s="110">
        <f>'VFA day 8'!D45/1000</f>
        <v>0.45218134168062657</v>
      </c>
      <c r="W9" s="110">
        <f>'VFA day 8'!J45/1000</f>
        <v>0.48041850588345608</v>
      </c>
      <c r="X9" s="110">
        <f>'VFA day 8'!D69/1000</f>
        <v>0</v>
      </c>
      <c r="Y9" s="110">
        <f>'VFA day 8'!J69/1000</f>
        <v>0</v>
      </c>
      <c r="Z9" s="110">
        <f>'VFA day 8'!D81/1000</f>
        <v>0.13205170293124127</v>
      </c>
      <c r="AA9" s="110">
        <f>'VFA day 8'!J81/1000</f>
        <v>0.13626027573054</v>
      </c>
      <c r="AB9" s="110">
        <f>'VFA day 8'!D93/1000</f>
        <v>0.43075515736146863</v>
      </c>
      <c r="AC9" s="117">
        <f>'VFA day 8'!J93/1000</f>
        <v>0.4585317378368402</v>
      </c>
      <c r="AD9" s="107"/>
      <c r="AE9" s="33" t="s">
        <v>147</v>
      </c>
      <c r="AF9" s="110">
        <f t="shared" si="12"/>
        <v>0</v>
      </c>
      <c r="AG9" s="110">
        <f t="shared" si="1"/>
        <v>0.20595085639911598</v>
      </c>
      <c r="AH9" s="110">
        <f t="shared" si="2"/>
        <v>0.46629992378204133</v>
      </c>
      <c r="AI9" s="110">
        <f t="shared" ref="AI9:AI11" si="13">AVERAGE(X9:Y9)</f>
        <v>0</v>
      </c>
      <c r="AJ9" s="110">
        <f t="shared" si="4"/>
        <v>0.13415598933089062</v>
      </c>
      <c r="AK9" s="117">
        <f t="shared" si="5"/>
        <v>0.44464344759915442</v>
      </c>
      <c r="AL9" s="81"/>
      <c r="AM9" s="33" t="s">
        <v>147</v>
      </c>
      <c r="AN9" s="110">
        <f t="shared" si="6"/>
        <v>0</v>
      </c>
      <c r="AO9" s="110">
        <f t="shared" si="7"/>
        <v>1.7316380611564222E-2</v>
      </c>
      <c r="AP9" s="110">
        <f>_xlfn.STDEV.P(V9:W9)</f>
        <v>1.4118582101414756E-2</v>
      </c>
      <c r="AQ9" s="110">
        <f>_xlfn.STDEV.P(X9:Y9)</f>
        <v>0</v>
      </c>
      <c r="AR9" s="110">
        <f t="shared" si="10"/>
        <v>2.104286399649366E-3</v>
      </c>
      <c r="AS9" s="117">
        <f t="shared" si="11"/>
        <v>1.3888290237685785E-2</v>
      </c>
      <c r="AT9" s="81"/>
      <c r="AU9" s="111"/>
      <c r="AV9" s="111"/>
      <c r="AW9" s="111"/>
      <c r="AX9" s="111"/>
      <c r="AY9" s="111"/>
      <c r="AZ9" s="111"/>
      <c r="BA9" s="111"/>
      <c r="BB9" s="111"/>
      <c r="BC9" s="111"/>
      <c r="BD9" s="81"/>
      <c r="BE9" s="81"/>
      <c r="BF9" s="81"/>
      <c r="BG9" s="81"/>
      <c r="BH9" s="81"/>
      <c r="BI9" s="81"/>
      <c r="BJ9" s="81"/>
    </row>
    <row r="10" spans="1:62" x14ac:dyDescent="0.25">
      <c r="A10" s="33" t="s">
        <v>66</v>
      </c>
      <c r="B10" s="73">
        <v>0</v>
      </c>
      <c r="C10" s="81">
        <v>3.7645118521795391</v>
      </c>
      <c r="D10" s="81">
        <v>5.2769966188646311</v>
      </c>
      <c r="E10" s="81">
        <v>4.7401560843076576</v>
      </c>
      <c r="F10" s="81">
        <v>4.8019295855052144</v>
      </c>
      <c r="G10" s="81">
        <v>0</v>
      </c>
      <c r="H10" s="81">
        <v>8.5514916759587126E-2</v>
      </c>
      <c r="I10" s="81">
        <v>0.11987262740096424</v>
      </c>
      <c r="J10" s="81">
        <v>0.10767771995254366</v>
      </c>
      <c r="K10" s="10">
        <v>0.10908097116286961</v>
      </c>
      <c r="Q10" s="33" t="s">
        <v>148</v>
      </c>
      <c r="R10" s="110">
        <f>'VFA day 8'!D22/1000</f>
        <v>1.0124752730133486E-2</v>
      </c>
      <c r="S10" s="110">
        <f>'VFA day 8'!J22/1000</f>
        <v>9.329737857928502E-3</v>
      </c>
      <c r="T10" s="110">
        <f>'VFA day 8'!D34/1000</f>
        <v>1.6316910819279353E-2</v>
      </c>
      <c r="U10" s="110">
        <f>'VFA day 8'!J34/1000</f>
        <v>1.9765707729689708E-2</v>
      </c>
      <c r="V10" s="110">
        <f>'VFA day 8'!D46/1000</f>
        <v>9.2727917691488027E-2</v>
      </c>
      <c r="W10" s="110">
        <f>'VFA day 8'!J46/1000</f>
        <v>9.5516068440488613E-2</v>
      </c>
      <c r="X10" s="110">
        <f>'VFA day 8'!D70/1000</f>
        <v>9.4700121861647252E-2</v>
      </c>
      <c r="Y10" s="110">
        <f>'VFA day 8'!J70/1000</f>
        <v>8.0710096243410023E-2</v>
      </c>
      <c r="Z10" s="110">
        <f>'VFA day 8'!D82/1000</f>
        <v>0.11338752834440212</v>
      </c>
      <c r="AA10" s="110">
        <f>'VFA day 8'!J82/1000</f>
        <v>9.8274215997693259E-2</v>
      </c>
      <c r="AB10" s="110">
        <f>'VFA day 8'!D94/1000</f>
        <v>0.77949655832806286</v>
      </c>
      <c r="AC10" s="117">
        <f>'VFA day 8'!J94/1000</f>
        <v>0.76979544567308089</v>
      </c>
      <c r="AD10" s="107"/>
      <c r="AE10" s="33" t="s">
        <v>148</v>
      </c>
      <c r="AF10" s="110">
        <f t="shared" si="12"/>
        <v>9.7272452940309929E-3</v>
      </c>
      <c r="AG10" s="110">
        <f t="shared" si="1"/>
        <v>1.8041309274484531E-2</v>
      </c>
      <c r="AH10" s="110">
        <f t="shared" si="2"/>
        <v>9.4121993065988313E-2</v>
      </c>
      <c r="AI10" s="110">
        <f t="shared" si="13"/>
        <v>8.7705109052528638E-2</v>
      </c>
      <c r="AJ10" s="110">
        <f t="shared" si="4"/>
        <v>0.1058308721710477</v>
      </c>
      <c r="AK10" s="117">
        <f t="shared" si="5"/>
        <v>0.77464600200057188</v>
      </c>
      <c r="AL10" s="81"/>
      <c r="AM10" s="33" t="s">
        <v>148</v>
      </c>
      <c r="AN10" s="110">
        <f t="shared" si="6"/>
        <v>3.9750743610249186E-4</v>
      </c>
      <c r="AO10" s="110">
        <f t="shared" si="7"/>
        <v>1.7243984552051776E-3</v>
      </c>
      <c r="AP10" s="110">
        <f t="shared" si="8"/>
        <v>1.3940753745002935E-3</v>
      </c>
      <c r="AQ10" s="110">
        <f t="shared" si="9"/>
        <v>6.9950128091186142E-3</v>
      </c>
      <c r="AR10" s="110">
        <f>_xlfn.STDEV.P(Z10:AA10)</f>
        <v>7.5566561733544299E-3</v>
      </c>
      <c r="AS10" s="117">
        <f t="shared" si="11"/>
        <v>4.8505563274909846E-3</v>
      </c>
      <c r="AT10" s="81"/>
      <c r="AU10" s="107"/>
      <c r="AV10" s="107"/>
      <c r="AW10" s="107"/>
      <c r="AX10" s="107"/>
      <c r="AY10" s="107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</row>
    <row r="11" spans="1:62" ht="15.75" thickBot="1" x14ac:dyDescent="0.3">
      <c r="A11" s="33" t="s">
        <v>67</v>
      </c>
      <c r="B11" s="73">
        <v>0</v>
      </c>
      <c r="C11" s="81">
        <v>3.9339292137335926</v>
      </c>
      <c r="D11" s="81">
        <v>5.1017243062040931</v>
      </c>
      <c r="E11" s="81">
        <v>4.9925673310048042</v>
      </c>
      <c r="F11" s="81">
        <v>4.96716021765027</v>
      </c>
      <c r="G11" s="81">
        <v>0</v>
      </c>
      <c r="H11" s="81">
        <v>8.9352191137120132E-2</v>
      </c>
      <c r="I11" s="81">
        <v>0.11587657544661406</v>
      </c>
      <c r="J11" s="81">
        <v>0.113397269291865</v>
      </c>
      <c r="K11" s="10">
        <v>0.11282019199195542</v>
      </c>
      <c r="Q11" s="33" t="s">
        <v>149</v>
      </c>
      <c r="R11" s="110">
        <f>'VFA day 8'!D23/1000</f>
        <v>4.3016469261856812E-3</v>
      </c>
      <c r="S11" s="110">
        <f>'VFA day 8'!J23/1000</f>
        <v>0</v>
      </c>
      <c r="T11" s="110">
        <f>'VFA day 8'!D35/1000</f>
        <v>3.150503165606164E-3</v>
      </c>
      <c r="U11" s="110">
        <f>'VFA day 8'!J35/1000</f>
        <v>2.611894617078133E-3</v>
      </c>
      <c r="V11" s="110">
        <f>'VFA day 8'!D47/1000</f>
        <v>1.411277127094138E-2</v>
      </c>
      <c r="W11" s="110">
        <f>'VFA day 8'!J47/1000</f>
        <v>1.5211110271861287E-2</v>
      </c>
      <c r="X11" s="110">
        <f>'VFA day 8'!D71/1000</f>
        <v>5.3432273091014337E-2</v>
      </c>
      <c r="Y11" s="110">
        <f>'VFA day 8'!J71/1000</f>
        <v>3.5631533129910901E-2</v>
      </c>
      <c r="Z11" s="110">
        <f>'VFA day 8'!D83/1000</f>
        <v>3.154611740113307E-2</v>
      </c>
      <c r="AA11" s="110">
        <f>'VFA day 8'!J83/1000</f>
        <v>0</v>
      </c>
      <c r="AB11" s="110">
        <f>'VFA day 8'!D95/1000</f>
        <v>0.15770764597791531</v>
      </c>
      <c r="AC11" s="117">
        <f>'VFA day 8'!J95/1000</f>
        <v>0.17268750365010074</v>
      </c>
      <c r="AD11" s="107"/>
      <c r="AE11" s="34" t="s">
        <v>149</v>
      </c>
      <c r="AF11" s="118">
        <f t="shared" si="12"/>
        <v>2.1508234630928406E-3</v>
      </c>
      <c r="AG11" s="118">
        <f t="shared" si="1"/>
        <v>2.8811988913421483E-3</v>
      </c>
      <c r="AH11" s="118">
        <f t="shared" si="2"/>
        <v>1.4661940771401333E-2</v>
      </c>
      <c r="AI11" s="118">
        <f t="shared" si="13"/>
        <v>4.4531903110462623E-2</v>
      </c>
      <c r="AJ11" s="118">
        <f t="shared" si="4"/>
        <v>1.5773058700566535E-2</v>
      </c>
      <c r="AK11" s="119">
        <f t="shared" si="5"/>
        <v>0.16519757481400804</v>
      </c>
      <c r="AL11" s="73"/>
      <c r="AM11" s="34" t="s">
        <v>149</v>
      </c>
      <c r="AN11" s="118">
        <f t="shared" si="6"/>
        <v>2.1508234630928406E-3</v>
      </c>
      <c r="AO11" s="118">
        <f t="shared" si="7"/>
        <v>2.6930427426401552E-4</v>
      </c>
      <c r="AP11" s="118">
        <f t="shared" si="8"/>
        <v>5.4916950045995339E-4</v>
      </c>
      <c r="AQ11" s="118">
        <f t="shared" si="9"/>
        <v>8.9003699805517006E-3</v>
      </c>
      <c r="AR11" s="118">
        <f t="shared" si="10"/>
        <v>1.5773058700566535E-2</v>
      </c>
      <c r="AS11" s="119">
        <f>_xlfn.STDEV.P(AB11:AC11)</f>
        <v>7.4899288360927158E-3</v>
      </c>
      <c r="AT11" s="81"/>
      <c r="AU11" s="107"/>
      <c r="AV11" s="107"/>
      <c r="AW11" s="107"/>
      <c r="AX11" s="107"/>
      <c r="AY11" s="107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</row>
    <row r="12" spans="1:62" ht="15.75" thickBot="1" x14ac:dyDescent="0.3">
      <c r="A12" s="33" t="s">
        <v>69</v>
      </c>
      <c r="B12" s="73">
        <v>0</v>
      </c>
      <c r="C12" s="81">
        <v>6.1846760266581242</v>
      </c>
      <c r="D12" s="81">
        <v>9.5727447892887501</v>
      </c>
      <c r="E12" s="81">
        <v>10.165010148617037</v>
      </c>
      <c r="F12" s="81">
        <v>13.225732988627952</v>
      </c>
      <c r="G12" s="81">
        <v>0</v>
      </c>
      <c r="H12" s="81">
        <v>0.14050283319410301</v>
      </c>
      <c r="I12" s="81">
        <v>0.21747263050509735</v>
      </c>
      <c r="J12" s="81">
        <v>0.23092765395817105</v>
      </c>
      <c r="K12" s="10">
        <v>0.3004608403029061</v>
      </c>
      <c r="Q12" s="34" t="s">
        <v>25</v>
      </c>
      <c r="R12" s="118">
        <f>'VFA day 8'!D24/1000</f>
        <v>3.7663821559783237</v>
      </c>
      <c r="S12" s="118">
        <f>'VFA day 8'!J24/1000</f>
        <v>4.1070998197418529</v>
      </c>
      <c r="T12" s="118">
        <f>'VFA day 8'!D36/1000</f>
        <v>10.640895668645994</v>
      </c>
      <c r="U12" s="118">
        <f>'VFA day 8'!J36/1000</f>
        <v>12.093961572404991</v>
      </c>
      <c r="V12" s="118">
        <f>'VFA day 8'!D48/1000</f>
        <v>9.484323987604677</v>
      </c>
      <c r="W12" s="118">
        <f>'VFA day 8'!J48/1000</f>
        <v>10.259364023058641</v>
      </c>
      <c r="X12" s="118">
        <f>'VFA day 8'!D72/1000</f>
        <v>3.6437180245219003</v>
      </c>
      <c r="Y12" s="118">
        <f>'VFA day 8'!J72/1000</f>
        <v>3.8331274492261329</v>
      </c>
      <c r="Z12" s="118">
        <f>'VFA day 8'!D84/1000</f>
        <v>10.338276397121819</v>
      </c>
      <c r="AA12" s="118">
        <f>'VFA day 8'!J84/1000</f>
        <v>10.645062792458116</v>
      </c>
      <c r="AB12" s="118">
        <f>'VFA day 8'!D96/1000</f>
        <v>10.042824519116738</v>
      </c>
      <c r="AC12" s="119">
        <f>'VFA day 8'!J96/1000</f>
        <v>10.601738604255532</v>
      </c>
      <c r="AD12" s="81"/>
      <c r="AE12" s="81"/>
      <c r="AF12" s="81"/>
      <c r="AG12" s="81"/>
      <c r="AH12" s="81"/>
      <c r="AI12" s="81"/>
      <c r="AJ12" s="81"/>
      <c r="AK12" s="81"/>
      <c r="AL12" s="107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81"/>
    </row>
    <row r="13" spans="1:62" x14ac:dyDescent="0.25">
      <c r="A13" s="33" t="s">
        <v>70</v>
      </c>
      <c r="B13" s="73">
        <v>0</v>
      </c>
      <c r="C13" s="81">
        <v>6.331958975163646</v>
      </c>
      <c r="D13" s="81">
        <v>9.5837604586916676</v>
      </c>
      <c r="E13" s="81">
        <v>10.281783441004913</v>
      </c>
      <c r="F13" s="81">
        <v>13.648763040521166</v>
      </c>
      <c r="G13" s="81">
        <v>0</v>
      </c>
      <c r="H13" s="81">
        <v>0.14384425491103311</v>
      </c>
      <c r="I13" s="81">
        <v>0.21771601613870145</v>
      </c>
      <c r="J13" s="81">
        <v>0.23357313021594972</v>
      </c>
      <c r="K13" s="10">
        <v>0.31006141349332944</v>
      </c>
      <c r="AC13" s="81"/>
      <c r="AD13" s="81"/>
      <c r="AE13" s="81"/>
      <c r="AF13" s="81"/>
      <c r="AG13" s="81"/>
      <c r="AH13" s="81"/>
      <c r="AI13" s="81"/>
      <c r="AJ13" s="81"/>
      <c r="AK13" s="81"/>
      <c r="AL13" s="107"/>
      <c r="AM13" s="81"/>
      <c r="AN13" s="81"/>
      <c r="AO13" s="81"/>
      <c r="AP13" s="81"/>
      <c r="AQ13" s="81"/>
      <c r="AR13" s="81"/>
      <c r="AS13" s="81"/>
      <c r="AT13" s="81"/>
      <c r="AU13" s="81"/>
      <c r="AV13" s="81"/>
      <c r="AW13" s="81"/>
      <c r="AX13" s="81"/>
      <c r="AY13" s="81"/>
      <c r="AZ13" s="81"/>
      <c r="BA13" s="81"/>
      <c r="BB13" s="81"/>
      <c r="BC13" s="81"/>
      <c r="BD13" s="81"/>
      <c r="BE13" s="81"/>
      <c r="BF13" s="81"/>
      <c r="BG13" s="81"/>
      <c r="BH13" s="81"/>
      <c r="BI13" s="81"/>
      <c r="BJ13" s="81"/>
    </row>
    <row r="14" spans="1:62" ht="15.75" thickBot="1" x14ac:dyDescent="0.3">
      <c r="A14" s="33" t="s">
        <v>72</v>
      </c>
      <c r="B14" s="73">
        <v>0</v>
      </c>
      <c r="C14" s="81">
        <v>5.905644556658733</v>
      </c>
      <c r="D14" s="81">
        <v>9.5792991449683917</v>
      </c>
      <c r="E14" s="81">
        <v>12.473551981055804</v>
      </c>
      <c r="F14" s="81">
        <v>14.000550080273364</v>
      </c>
      <c r="G14" s="81">
        <v>0</v>
      </c>
      <c r="H14" s="81">
        <v>0.13387093872957603</v>
      </c>
      <c r="I14" s="81">
        <v>0.21714645312719053</v>
      </c>
      <c r="J14" s="81">
        <v>0.28275425264348464</v>
      </c>
      <c r="K14" s="10">
        <v>0.3173687078514339</v>
      </c>
      <c r="Q14" s="2" t="s">
        <v>150</v>
      </c>
      <c r="R14" t="s">
        <v>209</v>
      </c>
      <c r="AC14" s="81"/>
      <c r="AD14" s="81"/>
      <c r="AE14" s="73" t="s">
        <v>150</v>
      </c>
      <c r="AF14" s="81" t="s">
        <v>140</v>
      </c>
      <c r="AG14" s="81"/>
      <c r="AH14" s="81"/>
      <c r="AI14" s="81"/>
      <c r="AJ14" s="81"/>
      <c r="AK14" s="81"/>
      <c r="AL14" s="107"/>
      <c r="AM14" s="81"/>
      <c r="AN14" s="81"/>
      <c r="AO14" s="81"/>
      <c r="AP14" s="81"/>
      <c r="AQ14" s="81"/>
      <c r="AR14" s="81"/>
      <c r="AS14" s="81"/>
      <c r="AT14" s="81"/>
      <c r="AU14" s="81"/>
      <c r="AV14" s="109"/>
      <c r="AW14" s="109"/>
      <c r="AX14" s="109"/>
      <c r="AY14" s="109"/>
      <c r="AZ14" s="109"/>
      <c r="BA14" s="111"/>
      <c r="BB14" s="111"/>
      <c r="BC14" s="107"/>
      <c r="BD14" s="107"/>
      <c r="BE14" s="81"/>
      <c r="BF14" s="81"/>
      <c r="BG14" s="81"/>
      <c r="BH14" s="81"/>
      <c r="BI14" s="81"/>
      <c r="BJ14" s="81"/>
    </row>
    <row r="15" spans="1:62" ht="15.75" thickBot="1" x14ac:dyDescent="0.3">
      <c r="A15" s="34" t="s">
        <v>73</v>
      </c>
      <c r="B15" s="113">
        <v>0</v>
      </c>
      <c r="C15" s="18">
        <v>5.528846583301255</v>
      </c>
      <c r="D15" s="18">
        <v>10.080386355559996</v>
      </c>
      <c r="E15" s="18">
        <v>13.083313043418084</v>
      </c>
      <c r="F15" s="18">
        <v>14.75710889036049</v>
      </c>
      <c r="G15" s="18">
        <v>0</v>
      </c>
      <c r="H15" s="18">
        <v>0.12553140754971889</v>
      </c>
      <c r="I15" s="18">
        <v>0.2288732502870171</v>
      </c>
      <c r="J15" s="18">
        <v>0.29705412819995758</v>
      </c>
      <c r="K15" s="20">
        <v>0.33505734378061053</v>
      </c>
      <c r="Q15" s="120"/>
      <c r="R15" s="121" t="s">
        <v>57</v>
      </c>
      <c r="S15" s="121" t="s">
        <v>58</v>
      </c>
      <c r="T15" s="121" t="s">
        <v>60</v>
      </c>
      <c r="U15" s="121" t="s">
        <v>61</v>
      </c>
      <c r="V15" s="121" t="s">
        <v>63</v>
      </c>
      <c r="W15" s="121" t="s">
        <v>64</v>
      </c>
      <c r="X15" s="121" t="s">
        <v>66</v>
      </c>
      <c r="Y15" s="121" t="s">
        <v>67</v>
      </c>
      <c r="Z15" s="121" t="s">
        <v>69</v>
      </c>
      <c r="AA15" s="121" t="s">
        <v>70</v>
      </c>
      <c r="AB15" s="121" t="s">
        <v>72</v>
      </c>
      <c r="AC15" s="122" t="s">
        <v>73</v>
      </c>
      <c r="AD15" s="73"/>
      <c r="AE15" s="30"/>
      <c r="AF15" s="31" t="s">
        <v>84</v>
      </c>
      <c r="AG15" s="31" t="s">
        <v>85</v>
      </c>
      <c r="AH15" s="31" t="s">
        <v>86</v>
      </c>
      <c r="AI15" s="31" t="s">
        <v>87</v>
      </c>
      <c r="AJ15" s="31" t="s">
        <v>88</v>
      </c>
      <c r="AK15" s="32" t="s">
        <v>89</v>
      </c>
      <c r="AL15" s="107"/>
      <c r="AM15" s="81"/>
      <c r="AN15" s="81"/>
      <c r="AO15" s="81"/>
      <c r="AP15" s="81"/>
      <c r="AQ15" s="81"/>
      <c r="AR15" s="81"/>
      <c r="AS15" s="81"/>
      <c r="AT15" s="81"/>
      <c r="AU15" s="81"/>
      <c r="AV15" s="109"/>
      <c r="AW15" s="109"/>
      <c r="AX15" s="109"/>
      <c r="AY15" s="109"/>
      <c r="AZ15" s="109"/>
      <c r="BA15" s="111"/>
      <c r="BB15" s="111"/>
      <c r="BC15" s="109"/>
      <c r="BD15" s="109"/>
      <c r="BE15" s="81"/>
      <c r="BF15" s="81"/>
      <c r="BG15" s="81"/>
      <c r="BH15" s="81"/>
      <c r="BI15" s="81"/>
      <c r="BJ15" s="81"/>
    </row>
    <row r="16" spans="1:62" x14ac:dyDescent="0.25">
      <c r="A16" s="2"/>
      <c r="B16" s="2"/>
      <c r="C16" s="2"/>
      <c r="Q16" s="30" t="s">
        <v>142</v>
      </c>
      <c r="R16" s="106">
        <f t="shared" ref="R16:AC16" si="14">R4/R$12</f>
        <v>0.74246186413294368</v>
      </c>
      <c r="S16" s="106">
        <f t="shared" si="14"/>
        <v>0.72027022069707192</v>
      </c>
      <c r="T16" s="106">
        <f t="shared" si="14"/>
        <v>0.67506559271623001</v>
      </c>
      <c r="U16" s="106">
        <f t="shared" si="14"/>
        <v>0.67533325113025322</v>
      </c>
      <c r="V16" s="106">
        <f t="shared" si="14"/>
        <v>0.60620419449062113</v>
      </c>
      <c r="W16" s="106">
        <f t="shared" si="14"/>
        <v>0.61327296052266977</v>
      </c>
      <c r="X16" s="106">
        <f t="shared" si="14"/>
        <v>0.67905878899646088</v>
      </c>
      <c r="Y16" s="106">
        <f t="shared" si="14"/>
        <v>0.70394797240076323</v>
      </c>
      <c r="Z16" s="106">
        <f t="shared" si="14"/>
        <v>0.6441038637401062</v>
      </c>
      <c r="AA16" s="106">
        <f t="shared" si="14"/>
        <v>0.64534365275864813</v>
      </c>
      <c r="AB16" s="106">
        <f t="shared" si="14"/>
        <v>0.5804866443942529</v>
      </c>
      <c r="AC16" s="123">
        <f t="shared" si="14"/>
        <v>0.57813172498259169</v>
      </c>
      <c r="AD16" s="107"/>
      <c r="AE16" s="33" t="s">
        <v>142</v>
      </c>
      <c r="AF16" s="107">
        <f>AVERAGE(R16:S16)</f>
        <v>0.7313660424150078</v>
      </c>
      <c r="AG16" s="107">
        <f>AVERAGE(T16:U16)</f>
        <v>0.67519942192324156</v>
      </c>
      <c r="AH16" s="107">
        <f>AVERAGE(V16:W16)</f>
        <v>0.60973857750664551</v>
      </c>
      <c r="AI16" s="107">
        <f>AVERAGE(X16:Y16)</f>
        <v>0.69150338069861206</v>
      </c>
      <c r="AJ16" s="107">
        <f>AVERAGE(Z16:AA16)</f>
        <v>0.64472375824937722</v>
      </c>
      <c r="AK16" s="124">
        <f>AVERAGE(AB16:AC16)</f>
        <v>0.5793091846884223</v>
      </c>
      <c r="AL16" s="107"/>
      <c r="AM16" s="73"/>
      <c r="AN16" s="73"/>
      <c r="AO16" s="73"/>
      <c r="AP16" s="73"/>
      <c r="AQ16" s="73"/>
      <c r="AR16" s="81"/>
      <c r="AS16" s="81"/>
      <c r="AT16" s="81"/>
      <c r="AU16" s="81"/>
      <c r="AV16" s="109"/>
      <c r="AW16" s="109"/>
      <c r="AX16" s="109"/>
      <c r="AY16" s="109"/>
      <c r="AZ16" s="109"/>
      <c r="BA16" s="111"/>
      <c r="BB16" s="111"/>
      <c r="BC16" s="109"/>
      <c r="BD16" s="109"/>
      <c r="BE16" s="81"/>
      <c r="BF16" s="81"/>
      <c r="BG16" s="81"/>
      <c r="BH16" s="81"/>
      <c r="BI16" s="81"/>
      <c r="BJ16" s="81"/>
    </row>
    <row r="17" spans="1:62" x14ac:dyDescent="0.25">
      <c r="A17" s="2"/>
      <c r="B17" s="2"/>
      <c r="C17" s="2"/>
      <c r="D17" s="2" t="s">
        <v>151</v>
      </c>
      <c r="Q17" s="33" t="s">
        <v>143</v>
      </c>
      <c r="R17" s="107">
        <f t="shared" ref="R17:AC17" si="15">R5/R$12</f>
        <v>7.8583809951073669E-2</v>
      </c>
      <c r="S17" s="107">
        <f t="shared" si="15"/>
        <v>9.9254753131964454E-2</v>
      </c>
      <c r="T17" s="107">
        <f t="shared" si="15"/>
        <v>0.22207739525539164</v>
      </c>
      <c r="U17" s="107">
        <f t="shared" si="15"/>
        <v>0.21253715126283354</v>
      </c>
      <c r="V17" s="107">
        <f t="shared" si="15"/>
        <v>0.1476066917551232</v>
      </c>
      <c r="W17" s="107">
        <f t="shared" si="15"/>
        <v>0.14797997796850093</v>
      </c>
      <c r="X17" s="107">
        <f t="shared" si="15"/>
        <v>9.2609338059947241E-2</v>
      </c>
      <c r="Y17" s="107">
        <f t="shared" si="15"/>
        <v>8.4615927716755981E-2</v>
      </c>
      <c r="Z17" s="107">
        <f t="shared" si="15"/>
        <v>0.221453755051635</v>
      </c>
      <c r="AA17" s="107">
        <f t="shared" si="15"/>
        <v>0.20173643342305514</v>
      </c>
      <c r="AB17" s="107">
        <f t="shared" si="15"/>
        <v>0.12894944865362556</v>
      </c>
      <c r="AC17" s="124">
        <f t="shared" si="15"/>
        <v>0.136762113773025</v>
      </c>
      <c r="AD17" s="107"/>
      <c r="AE17" s="33" t="s">
        <v>143</v>
      </c>
      <c r="AF17" s="107">
        <f t="shared" ref="AF17:AF18" si="16">AVERAGE(R17:S17)</f>
        <v>8.8919281541519068E-2</v>
      </c>
      <c r="AG17" s="107">
        <f t="shared" ref="AG17:AG23" si="17">AVERAGE(T17:U17)</f>
        <v>0.21730727325911259</v>
      </c>
      <c r="AH17" s="107">
        <f t="shared" ref="AH17:AH23" si="18">AVERAGE(V17:W17)</f>
        <v>0.14779333486181206</v>
      </c>
      <c r="AI17" s="107">
        <f t="shared" ref="AI17:AI19" si="19">AVERAGE(X17:Y17)</f>
        <v>8.8612632888351611E-2</v>
      </c>
      <c r="AJ17" s="107">
        <f t="shared" ref="AJ17:AJ23" si="20">AVERAGE(Z17:AA17)</f>
        <v>0.21159509423734507</v>
      </c>
      <c r="AK17" s="124">
        <f t="shared" ref="AK17:AK23" si="21">AVERAGE(AB17:AC17)</f>
        <v>0.13285578121332528</v>
      </c>
      <c r="AL17" s="107"/>
      <c r="AM17" s="107"/>
      <c r="AN17" s="109"/>
      <c r="AO17" s="109"/>
      <c r="AP17" s="109"/>
      <c r="AQ17" s="109"/>
      <c r="AR17" s="81"/>
      <c r="AS17" s="81"/>
      <c r="AT17" s="81"/>
      <c r="AU17" s="81"/>
      <c r="AV17" s="109"/>
      <c r="AW17" s="109"/>
      <c r="AX17" s="109"/>
      <c r="AY17" s="109"/>
      <c r="AZ17" s="109"/>
      <c r="BA17" s="111"/>
      <c r="BB17" s="111"/>
      <c r="BC17" s="109"/>
      <c r="BD17" s="109"/>
      <c r="BE17" s="81"/>
      <c r="BF17" s="81"/>
      <c r="BG17" s="81"/>
      <c r="BH17" s="81"/>
      <c r="BI17" s="81"/>
      <c r="BJ17" s="81"/>
    </row>
    <row r="18" spans="1:62" ht="15.75" thickBot="1" x14ac:dyDescent="0.3">
      <c r="D18" s="154" t="s">
        <v>138</v>
      </c>
      <c r="E18" s="154"/>
      <c r="F18" s="154"/>
      <c r="G18" s="48"/>
      <c r="H18" s="154" t="s">
        <v>139</v>
      </c>
      <c r="I18" s="154"/>
      <c r="J18" s="154"/>
      <c r="L18" s="154" t="s">
        <v>152</v>
      </c>
      <c r="M18" s="154"/>
      <c r="N18" s="154"/>
      <c r="Q18" s="33" t="s">
        <v>144</v>
      </c>
      <c r="R18" s="107">
        <f t="shared" ref="R18:AC18" si="22">R6/R$12</f>
        <v>4.9170429855546295E-2</v>
      </c>
      <c r="S18" s="107">
        <f t="shared" si="22"/>
        <v>5.0421703921216157E-2</v>
      </c>
      <c r="T18" s="107">
        <f t="shared" si="22"/>
        <v>1.1418946470891849E-2</v>
      </c>
      <c r="U18" s="107">
        <f t="shared" si="22"/>
        <v>1.0793843008862478E-2</v>
      </c>
      <c r="V18" s="107">
        <f t="shared" si="22"/>
        <v>7.3716774155707359E-3</v>
      </c>
      <c r="W18" s="107">
        <f t="shared" si="22"/>
        <v>8.3070165415187972E-3</v>
      </c>
      <c r="X18" s="107">
        <f t="shared" si="22"/>
        <v>5.4162648683799046E-2</v>
      </c>
      <c r="Y18" s="107">
        <f t="shared" si="22"/>
        <v>5.1686115741558028E-2</v>
      </c>
      <c r="Z18" s="107">
        <f t="shared" si="22"/>
        <v>1.3989146492447826E-2</v>
      </c>
      <c r="AA18" s="107">
        <f t="shared" si="22"/>
        <v>1.2902337286501494E-2</v>
      </c>
      <c r="AB18" s="107">
        <f t="shared" si="22"/>
        <v>8.2602916888372627E-3</v>
      </c>
      <c r="AC18" s="124">
        <f t="shared" si="22"/>
        <v>9.1615708987340758E-3</v>
      </c>
      <c r="AD18" s="107"/>
      <c r="AE18" s="33" t="s">
        <v>144</v>
      </c>
      <c r="AF18" s="107">
        <f t="shared" si="16"/>
        <v>4.979606688838123E-2</v>
      </c>
      <c r="AG18" s="107">
        <f t="shared" si="17"/>
        <v>1.1106394739877163E-2</v>
      </c>
      <c r="AH18" s="107">
        <f t="shared" si="18"/>
        <v>7.8393469785447666E-3</v>
      </c>
      <c r="AI18" s="107">
        <f t="shared" si="19"/>
        <v>5.2924382212678533E-2</v>
      </c>
      <c r="AJ18" s="107">
        <f t="shared" si="20"/>
        <v>1.3445741889474661E-2</v>
      </c>
      <c r="AK18" s="124">
        <f t="shared" si="21"/>
        <v>8.7109312937856693E-3</v>
      </c>
      <c r="AL18" s="107"/>
      <c r="AM18" s="107"/>
      <c r="AN18" s="109"/>
      <c r="AO18" s="109"/>
      <c r="AP18" s="109"/>
      <c r="AQ18" s="109"/>
      <c r="AR18" s="81"/>
      <c r="AS18" s="81"/>
      <c r="AT18" s="81"/>
      <c r="AU18" s="81"/>
      <c r="AV18" s="109"/>
      <c r="AW18" s="109"/>
      <c r="AX18" s="109"/>
      <c r="AY18" s="109"/>
      <c r="AZ18" s="109"/>
      <c r="BA18" s="111"/>
      <c r="BB18" s="111"/>
      <c r="BC18" s="111"/>
      <c r="BD18" s="111"/>
      <c r="BE18" s="81"/>
      <c r="BF18" s="81"/>
      <c r="BG18" s="81"/>
      <c r="BH18" s="81"/>
      <c r="BI18" s="81"/>
      <c r="BJ18" s="81"/>
    </row>
    <row r="19" spans="1:62" x14ac:dyDescent="0.25">
      <c r="A19" s="30" t="s">
        <v>153</v>
      </c>
      <c r="B19" s="31">
        <v>0</v>
      </c>
      <c r="C19" s="31">
        <v>2</v>
      </c>
      <c r="D19" s="31">
        <v>4</v>
      </c>
      <c r="E19" s="31">
        <v>6</v>
      </c>
      <c r="F19" s="31">
        <v>8</v>
      </c>
      <c r="G19" s="31">
        <v>0</v>
      </c>
      <c r="H19" s="31">
        <v>2</v>
      </c>
      <c r="I19" s="31">
        <v>4</v>
      </c>
      <c r="J19" s="31">
        <v>6</v>
      </c>
      <c r="K19" s="31">
        <v>8</v>
      </c>
      <c r="L19" s="31">
        <v>2</v>
      </c>
      <c r="M19" s="31">
        <v>4</v>
      </c>
      <c r="N19" s="31">
        <v>6</v>
      </c>
      <c r="O19" s="32">
        <v>8</v>
      </c>
      <c r="Q19" s="33" t="s">
        <v>145</v>
      </c>
      <c r="R19" s="107">
        <f t="shared" ref="R19:AC19" si="23">R7/R$12</f>
        <v>5.056073066508629E-2</v>
      </c>
      <c r="S19" s="107">
        <f t="shared" si="23"/>
        <v>4.8855440345336329E-2</v>
      </c>
      <c r="T19" s="107">
        <f t="shared" si="23"/>
        <v>5.9502603604743486E-2</v>
      </c>
      <c r="U19" s="107">
        <f t="shared" si="23"/>
        <v>7.652932369133171E-2</v>
      </c>
      <c r="V19" s="107">
        <f t="shared" si="23"/>
        <v>0.17348498614083799</v>
      </c>
      <c r="W19" s="107">
        <f t="shared" si="23"/>
        <v>0.16489644943418921</v>
      </c>
      <c r="X19" s="107">
        <f t="shared" si="23"/>
        <v>5.1211329339058399E-2</v>
      </c>
      <c r="Y19" s="107">
        <f t="shared" si="23"/>
        <v>5.2139857635157313E-2</v>
      </c>
      <c r="Z19" s="107">
        <f t="shared" si="23"/>
        <v>8.2970021688109796E-2</v>
      </c>
      <c r="AA19" s="107">
        <f t="shared" si="23"/>
        <v>0.10754029610531554</v>
      </c>
      <c r="AB19" s="107">
        <f t="shared" si="23"/>
        <v>0.1390389357164627</v>
      </c>
      <c r="AC19" s="124">
        <f t="shared" si="23"/>
        <v>0.1363241630659085</v>
      </c>
      <c r="AD19" s="107"/>
      <c r="AE19" s="33" t="s">
        <v>145</v>
      </c>
      <c r="AF19" s="107">
        <f>AVERAGE(R19:S19)</f>
        <v>4.9708085505211309E-2</v>
      </c>
      <c r="AG19" s="107">
        <f t="shared" si="17"/>
        <v>6.8015963648037595E-2</v>
      </c>
      <c r="AH19" s="107">
        <f t="shared" si="18"/>
        <v>0.1691907177875136</v>
      </c>
      <c r="AI19" s="107">
        <f t="shared" si="19"/>
        <v>5.167559348710786E-2</v>
      </c>
      <c r="AJ19" s="107">
        <f t="shared" si="20"/>
        <v>9.5255158896712669E-2</v>
      </c>
      <c r="AK19" s="124">
        <f t="shared" si="21"/>
        <v>0.1376815493911856</v>
      </c>
      <c r="AL19" s="107"/>
      <c r="AM19" s="107"/>
      <c r="AN19" s="109"/>
      <c r="AO19" s="109"/>
      <c r="AP19" s="109"/>
      <c r="AQ19" s="109"/>
      <c r="AR19" s="81"/>
      <c r="AS19" s="81"/>
      <c r="AT19" s="81"/>
      <c r="AU19" s="81"/>
      <c r="AV19" s="109"/>
      <c r="AW19" s="109"/>
      <c r="AX19" s="109"/>
      <c r="AY19" s="109"/>
      <c r="AZ19" s="109"/>
      <c r="BA19" s="111"/>
      <c r="BB19" s="111"/>
      <c r="BC19" s="111"/>
      <c r="BD19" s="111"/>
      <c r="BE19" s="81"/>
      <c r="BF19" s="81"/>
      <c r="BG19" s="81"/>
      <c r="BH19" s="81"/>
      <c r="BI19" s="81"/>
      <c r="BJ19" s="81"/>
    </row>
    <row r="20" spans="1:62" x14ac:dyDescent="0.25">
      <c r="A20" s="33" t="s">
        <v>84</v>
      </c>
      <c r="B20" s="73">
        <v>0</v>
      </c>
      <c r="C20" s="81">
        <f>AVERAGE(C4:C5)</f>
        <v>3.7058250899521559</v>
      </c>
      <c r="D20" s="81">
        <f t="shared" ref="D20:K20" si="24">AVERAGE(D4:D5)</f>
        <v>4.7491007659997297</v>
      </c>
      <c r="E20" s="81">
        <f t="shared" si="24"/>
        <v>4.8941522211679542</v>
      </c>
      <c r="F20" s="81">
        <f t="shared" si="24"/>
        <v>4.9696301453960903</v>
      </c>
      <c r="G20" s="81">
        <v>0</v>
      </c>
      <c r="H20" s="81">
        <f t="shared" si="24"/>
        <v>8.4146502188593E-2</v>
      </c>
      <c r="I20" s="81">
        <f t="shared" si="24"/>
        <v>0.1078374826117795</v>
      </c>
      <c r="J20" s="81">
        <f t="shared" si="24"/>
        <v>0.1111303688887039</v>
      </c>
      <c r="K20" s="81">
        <f t="shared" si="24"/>
        <v>0.11284736876041845</v>
      </c>
      <c r="L20" s="81">
        <f>_xlfn.STDEV.P(H4:H5)</f>
        <v>1.3225977886883733E-3</v>
      </c>
      <c r="M20" s="81">
        <f t="shared" ref="M20:O20" si="25">_xlfn.STDEV.P(I4:I5)</f>
        <v>1.3539262539138189E-3</v>
      </c>
      <c r="N20" s="81">
        <f t="shared" si="25"/>
        <v>5.5148604307588001E-5</v>
      </c>
      <c r="O20" s="10">
        <f t="shared" si="25"/>
        <v>5.407023304049817E-3</v>
      </c>
      <c r="Q20" s="33" t="s">
        <v>146</v>
      </c>
      <c r="R20" s="107">
        <f t="shared" ref="R20:AC20" si="26">R8/R$12</f>
        <v>7.5392858469798138E-2</v>
      </c>
      <c r="S20" s="107">
        <f t="shared" si="26"/>
        <v>7.8926269752916139E-2</v>
      </c>
      <c r="T20" s="107">
        <f t="shared" si="26"/>
        <v>9.1239751611943525E-3</v>
      </c>
      <c r="U20" s="107">
        <f t="shared" si="26"/>
        <v>7.3587090108772572E-3</v>
      </c>
      <c r="V20" s="107">
        <f t="shared" si="26"/>
        <v>6.3907658591784173E-3</v>
      </c>
      <c r="W20" s="107">
        <f t="shared" si="26"/>
        <v>7.923485430081343E-3</v>
      </c>
      <c r="X20" s="107">
        <f t="shared" si="26"/>
        <v>8.2303707643962776E-2</v>
      </c>
      <c r="Y20" s="107">
        <f t="shared" si="26"/>
        <v>7.7258506082393041E-2</v>
      </c>
      <c r="Z20" s="107">
        <f t="shared" si="26"/>
        <v>1.0690995637006697E-2</v>
      </c>
      <c r="AA20" s="107">
        <f t="shared" si="26"/>
        <v>1.0445048555156581E-2</v>
      </c>
      <c r="AB20" s="107">
        <f t="shared" si="26"/>
        <v>7.052067341609374E-3</v>
      </c>
      <c r="AC20" s="124">
        <f t="shared" si="26"/>
        <v>7.4709054458734448E-3</v>
      </c>
      <c r="AD20" s="107"/>
      <c r="AE20" s="33" t="s">
        <v>146</v>
      </c>
      <c r="AF20" s="107">
        <f t="shared" ref="AF20:AF23" si="27">AVERAGE(R20:S20)</f>
        <v>7.7159564111357132E-2</v>
      </c>
      <c r="AG20" s="107">
        <f t="shared" si="17"/>
        <v>8.2413420860358057E-3</v>
      </c>
      <c r="AH20" s="107">
        <f t="shared" si="18"/>
        <v>7.1571256446298801E-3</v>
      </c>
      <c r="AI20" s="107">
        <f>AVERAGE(X20:Y20)</f>
        <v>7.9781106863177909E-2</v>
      </c>
      <c r="AJ20" s="107">
        <f t="shared" si="20"/>
        <v>1.0568022096081639E-2</v>
      </c>
      <c r="AK20" s="124">
        <f t="shared" si="21"/>
        <v>7.2614863937414094E-3</v>
      </c>
      <c r="AL20" s="81"/>
      <c r="AM20" s="107"/>
      <c r="AN20" s="109"/>
      <c r="AO20" s="109"/>
      <c r="AP20" s="109"/>
      <c r="AQ20" s="109"/>
      <c r="AR20" s="81"/>
      <c r="AS20" s="81"/>
      <c r="AT20" s="81"/>
      <c r="AU20" s="81"/>
      <c r="AV20" s="109"/>
      <c r="AW20" s="109"/>
      <c r="AX20" s="109"/>
      <c r="AY20" s="109"/>
      <c r="AZ20" s="109"/>
      <c r="BA20" s="111"/>
      <c r="BB20" s="111"/>
      <c r="BC20" s="111"/>
      <c r="BD20" s="111"/>
      <c r="BE20" s="81"/>
      <c r="BF20" s="81"/>
      <c r="BG20" s="81"/>
      <c r="BH20" s="81"/>
      <c r="BI20" s="81"/>
      <c r="BJ20" s="81"/>
    </row>
    <row r="21" spans="1:62" x14ac:dyDescent="0.25">
      <c r="A21" s="33" t="s">
        <v>85</v>
      </c>
      <c r="B21" s="73">
        <v>0</v>
      </c>
      <c r="C21" s="81">
        <f t="shared" ref="C21:K21" si="28">AVERAGE(C6:C7)</f>
        <v>5.7936353538717462</v>
      </c>
      <c r="D21" s="81">
        <f t="shared" si="28"/>
        <v>9.8837464953324137</v>
      </c>
      <c r="E21" s="81">
        <f t="shared" si="28"/>
        <v>9.8124945429140933</v>
      </c>
      <c r="F21" s="81">
        <f t="shared" si="28"/>
        <v>14.24180354393329</v>
      </c>
      <c r="G21" s="81">
        <v>0</v>
      </c>
      <c r="H21" s="81">
        <f t="shared" si="28"/>
        <v>0.13147194570199272</v>
      </c>
      <c r="I21" s="81">
        <f t="shared" si="28"/>
        <v>0.22428925907055253</v>
      </c>
      <c r="J21" s="81">
        <f t="shared" si="28"/>
        <v>0.22266767102458118</v>
      </c>
      <c r="K21" s="81">
        <f t="shared" si="28"/>
        <v>0.32316986118360946</v>
      </c>
      <c r="L21" s="81">
        <f>_xlfn.STDEV.P(H6:H7)</f>
        <v>3.4075795864435127E-3</v>
      </c>
      <c r="M21" s="81">
        <f t="shared" ref="M21:O21" si="29">_xlfn.STDEV.P(I6:I7)</f>
        <v>3.2263242267039499E-3</v>
      </c>
      <c r="N21" s="81">
        <f t="shared" si="29"/>
        <v>7.9492236458927473E-3</v>
      </c>
      <c r="O21" s="10">
        <f t="shared" si="29"/>
        <v>2.048890774312806E-2</v>
      </c>
      <c r="Q21" s="33" t="s">
        <v>147</v>
      </c>
      <c r="R21" s="107">
        <f t="shared" ref="R21:AC21" si="30">R9/R$12</f>
        <v>0</v>
      </c>
      <c r="S21" s="107">
        <f t="shared" si="30"/>
        <v>0</v>
      </c>
      <c r="T21" s="107">
        <f t="shared" si="30"/>
        <v>2.0981996625392151E-2</v>
      </c>
      <c r="U21" s="107">
        <f t="shared" si="30"/>
        <v>1.5597409885769973E-2</v>
      </c>
      <c r="V21" s="107">
        <f t="shared" si="30"/>
        <v>4.7676707614754066E-2</v>
      </c>
      <c r="W21" s="107">
        <f t="shared" si="30"/>
        <v>4.6827318418927504E-2</v>
      </c>
      <c r="X21" s="107">
        <f t="shared" si="30"/>
        <v>0</v>
      </c>
      <c r="Y21" s="107">
        <f t="shared" si="30"/>
        <v>0</v>
      </c>
      <c r="Z21" s="107">
        <f t="shared" si="30"/>
        <v>1.2773086911083606E-2</v>
      </c>
      <c r="AA21" s="107">
        <f t="shared" si="30"/>
        <v>1.2800326159379594E-2</v>
      </c>
      <c r="AB21" s="107">
        <f t="shared" si="30"/>
        <v>4.2891833521686719E-2</v>
      </c>
      <c r="AC21" s="124">
        <f t="shared" si="30"/>
        <v>4.3250617182052177E-2</v>
      </c>
      <c r="AD21" s="107"/>
      <c r="AE21" s="33" t="s">
        <v>147</v>
      </c>
      <c r="AF21" s="107">
        <f t="shared" si="27"/>
        <v>0</v>
      </c>
      <c r="AG21" s="107">
        <f t="shared" si="17"/>
        <v>1.8289703255581061E-2</v>
      </c>
      <c r="AH21" s="107">
        <f t="shared" si="18"/>
        <v>4.7252013016840788E-2</v>
      </c>
      <c r="AI21" s="107">
        <f t="shared" ref="AI21:AI23" si="31">AVERAGE(X21:Y21)</f>
        <v>0</v>
      </c>
      <c r="AJ21" s="107">
        <f t="shared" si="20"/>
        <v>1.27867065352316E-2</v>
      </c>
      <c r="AK21" s="124">
        <f t="shared" si="21"/>
        <v>4.3071225351869448E-2</v>
      </c>
      <c r="AL21" s="81"/>
      <c r="AM21" s="107"/>
      <c r="AN21" s="109"/>
      <c r="AO21" s="109"/>
      <c r="AP21" s="109"/>
      <c r="AQ21" s="109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</row>
    <row r="22" spans="1:62" x14ac:dyDescent="0.25">
      <c r="A22" s="33" t="s">
        <v>86</v>
      </c>
      <c r="B22" s="73">
        <v>0</v>
      </c>
      <c r="C22" s="81">
        <f t="shared" ref="C22:K22" si="32">AVERAGE(C8:C9)</f>
        <v>5.8981302711393608</v>
      </c>
      <c r="D22" s="81">
        <f t="shared" si="32"/>
        <v>9.6149907109518704</v>
      </c>
      <c r="E22" s="81">
        <f t="shared" si="32"/>
        <v>10.917994760630325</v>
      </c>
      <c r="F22" s="81">
        <f t="shared" si="32"/>
        <v>13.161512583940194</v>
      </c>
      <c r="G22" s="81">
        <v>0</v>
      </c>
      <c r="H22" s="81">
        <f t="shared" si="32"/>
        <v>0.13394744540517722</v>
      </c>
      <c r="I22" s="81">
        <f t="shared" si="32"/>
        <v>0.21835773472079312</v>
      </c>
      <c r="J22" s="81">
        <f t="shared" si="32"/>
        <v>0.24794923203314848</v>
      </c>
      <c r="K22" s="81">
        <f t="shared" si="32"/>
        <v>0.29889919897417189</v>
      </c>
      <c r="L22" s="81">
        <f>_xlfn.STDEV.P(H8:H9)</f>
        <v>1.0756979428305363E-3</v>
      </c>
      <c r="M22" s="81">
        <f t="shared" ref="M22:O22" si="33">_xlfn.STDEV.P(I8:I9)</f>
        <v>3.8031618984763343E-3</v>
      </c>
      <c r="N22" s="81">
        <f t="shared" si="33"/>
        <v>3.2001234755118235E-3</v>
      </c>
      <c r="O22" s="10">
        <f t="shared" si="33"/>
        <v>1.1096508558628926E-2</v>
      </c>
      <c r="Q22" s="33" t="s">
        <v>148</v>
      </c>
      <c r="R22" s="107">
        <f t="shared" ref="R22:AC22" si="34">R10/R$12</f>
        <v>2.68819049975123E-3</v>
      </c>
      <c r="S22" s="107">
        <f t="shared" si="34"/>
        <v>2.2716121514949963E-3</v>
      </c>
      <c r="T22" s="107">
        <f t="shared" si="34"/>
        <v>1.5334151679879788E-3</v>
      </c>
      <c r="U22" s="107">
        <f t="shared" si="34"/>
        <v>1.6343451739411409E-3</v>
      </c>
      <c r="V22" s="107">
        <f t="shared" si="34"/>
        <v>9.7769664778087177E-3</v>
      </c>
      <c r="W22" s="107">
        <f t="shared" si="34"/>
        <v>9.310135426115064E-3</v>
      </c>
      <c r="X22" s="107">
        <f t="shared" si="34"/>
        <v>2.5989969922020257E-2</v>
      </c>
      <c r="Y22" s="107">
        <f t="shared" si="34"/>
        <v>2.1055938606921228E-2</v>
      </c>
      <c r="Z22" s="107">
        <f t="shared" si="34"/>
        <v>1.0967740074735211E-2</v>
      </c>
      <c r="AA22" s="107">
        <f t="shared" si="34"/>
        <v>9.2319057119436831E-3</v>
      </c>
      <c r="AB22" s="107">
        <f t="shared" si="34"/>
        <v>7.761726363377891E-2</v>
      </c>
      <c r="AC22" s="124">
        <f t="shared" si="34"/>
        <v>7.2610302367206586E-2</v>
      </c>
      <c r="AD22" s="107"/>
      <c r="AE22" s="33" t="s">
        <v>148</v>
      </c>
      <c r="AF22" s="107">
        <f t="shared" si="27"/>
        <v>2.4799013256231132E-3</v>
      </c>
      <c r="AG22" s="107">
        <f t="shared" si="17"/>
        <v>1.58388017096456E-3</v>
      </c>
      <c r="AH22" s="107">
        <f t="shared" si="18"/>
        <v>9.5435509519618909E-3</v>
      </c>
      <c r="AI22" s="107">
        <f t="shared" si="31"/>
        <v>2.3522954264470743E-2</v>
      </c>
      <c r="AJ22" s="107">
        <f t="shared" si="20"/>
        <v>1.0099822893339447E-2</v>
      </c>
      <c r="AK22" s="124">
        <f t="shared" si="21"/>
        <v>7.5113783000492748E-2</v>
      </c>
      <c r="AL22" s="81"/>
      <c r="AM22" s="107"/>
      <c r="AN22" s="109"/>
      <c r="AO22" s="109"/>
      <c r="AP22" s="109"/>
      <c r="AQ22" s="109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</row>
    <row r="23" spans="1:62" ht="15.75" thickBot="1" x14ac:dyDescent="0.3">
      <c r="A23" s="33" t="s">
        <v>87</v>
      </c>
      <c r="B23" s="73">
        <v>0</v>
      </c>
      <c r="C23" s="81">
        <f t="shared" ref="C23:K23" si="35">AVERAGE(C10:C11)</f>
        <v>3.8492205329565659</v>
      </c>
      <c r="D23" s="81">
        <f t="shared" si="35"/>
        <v>5.1893604625343617</v>
      </c>
      <c r="E23" s="81">
        <f t="shared" si="35"/>
        <v>4.8663617076562309</v>
      </c>
      <c r="F23" s="81">
        <f t="shared" si="35"/>
        <v>4.8845449015777422</v>
      </c>
      <c r="G23" s="81">
        <v>0</v>
      </c>
      <c r="H23" s="81">
        <f t="shared" si="35"/>
        <v>8.7433553948353629E-2</v>
      </c>
      <c r="I23" s="81">
        <f t="shared" si="35"/>
        <v>0.11787460142378915</v>
      </c>
      <c r="J23" s="81">
        <f t="shared" si="35"/>
        <v>0.11053749462220433</v>
      </c>
      <c r="K23" s="81">
        <f t="shared" si="35"/>
        <v>0.11095058157741251</v>
      </c>
      <c r="L23" s="81">
        <f>_xlfn.STDEV.P(H10:H11)</f>
        <v>1.9186371887665032E-3</v>
      </c>
      <c r="M23" s="81">
        <f t="shared" ref="M23:O23" si="36">_xlfn.STDEV.P(I10:I11)</f>
        <v>1.9980259771750913E-3</v>
      </c>
      <c r="N23" s="81">
        <f t="shared" si="36"/>
        <v>2.8597746696606696E-3</v>
      </c>
      <c r="O23" s="10">
        <f t="shared" si="36"/>
        <v>1.8696104145429077E-3</v>
      </c>
      <c r="Q23" s="34" t="s">
        <v>149</v>
      </c>
      <c r="R23" s="125">
        <f t="shared" ref="R23:AC23" si="37">R11/R$12</f>
        <v>1.1421164258007487E-3</v>
      </c>
      <c r="S23" s="125">
        <f t="shared" si="37"/>
        <v>0</v>
      </c>
      <c r="T23" s="125">
        <f t="shared" si="37"/>
        <v>2.9607499816855656E-4</v>
      </c>
      <c r="U23" s="125">
        <f t="shared" si="37"/>
        <v>2.1596683613066373E-4</v>
      </c>
      <c r="V23" s="125">
        <f t="shared" si="37"/>
        <v>1.4880102461056527E-3</v>
      </c>
      <c r="W23" s="125">
        <f t="shared" si="37"/>
        <v>1.4826562579974012E-3</v>
      </c>
      <c r="X23" s="125">
        <f t="shared" si="37"/>
        <v>1.4664217354751345E-2</v>
      </c>
      <c r="Y23" s="125">
        <f t="shared" si="37"/>
        <v>9.2956818164510874E-3</v>
      </c>
      <c r="Z23" s="125">
        <f t="shared" si="37"/>
        <v>3.0513904048759546E-3</v>
      </c>
      <c r="AA23" s="125">
        <f t="shared" si="37"/>
        <v>0</v>
      </c>
      <c r="AB23" s="125">
        <f t="shared" si="37"/>
        <v>1.5703515049746743E-2</v>
      </c>
      <c r="AC23" s="126">
        <f t="shared" si="37"/>
        <v>1.6288602284608683E-2</v>
      </c>
      <c r="AD23" s="107"/>
      <c r="AE23" s="34" t="s">
        <v>149</v>
      </c>
      <c r="AF23" s="125">
        <f t="shared" si="27"/>
        <v>5.7105821290037435E-4</v>
      </c>
      <c r="AG23" s="125">
        <f t="shared" si="17"/>
        <v>2.5602091714961014E-4</v>
      </c>
      <c r="AH23" s="125">
        <f t="shared" si="18"/>
        <v>1.4853332520515269E-3</v>
      </c>
      <c r="AI23" s="125">
        <f t="shared" si="31"/>
        <v>1.1979949585601217E-2</v>
      </c>
      <c r="AJ23" s="125">
        <f t="shared" si="20"/>
        <v>1.5256952024379773E-3</v>
      </c>
      <c r="AK23" s="126">
        <f t="shared" si="21"/>
        <v>1.5996058667177713E-2</v>
      </c>
      <c r="AL23" s="81"/>
      <c r="AM23" s="107"/>
      <c r="AN23" s="109"/>
      <c r="AO23" s="109"/>
      <c r="AP23" s="109"/>
      <c r="AQ23" s="109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</row>
    <row r="24" spans="1:62" x14ac:dyDescent="0.25">
      <c r="A24" s="33" t="s">
        <v>88</v>
      </c>
      <c r="B24" s="73">
        <v>0</v>
      </c>
      <c r="C24" s="81">
        <f t="shared" ref="C24:K24" si="38">AVERAGE(C12:C13)</f>
        <v>6.2583175009108851</v>
      </c>
      <c r="D24" s="81">
        <f t="shared" si="38"/>
        <v>9.5782526239902097</v>
      </c>
      <c r="E24" s="81">
        <f t="shared" si="38"/>
        <v>10.223396794810975</v>
      </c>
      <c r="F24" s="81">
        <f t="shared" si="38"/>
        <v>13.437248014574559</v>
      </c>
      <c r="G24" s="81">
        <v>0</v>
      </c>
      <c r="H24" s="81">
        <f t="shared" si="38"/>
        <v>0.14217354405256805</v>
      </c>
      <c r="I24" s="81">
        <f t="shared" si="38"/>
        <v>0.2175943233218994</v>
      </c>
      <c r="J24" s="114">
        <f t="shared" si="38"/>
        <v>0.23225039208706039</v>
      </c>
      <c r="K24" s="114">
        <f t="shared" si="38"/>
        <v>0.3052611268981178</v>
      </c>
      <c r="L24" s="81">
        <f>_xlfn.STDEV.P(H12:H13)</f>
        <v>1.6707108584650548E-3</v>
      </c>
      <c r="M24" s="81">
        <f t="shared" ref="M24:O24" si="39">_xlfn.STDEV.P(I12:I13)</f>
        <v>1.2169281680204924E-4</v>
      </c>
      <c r="N24" s="81">
        <f t="shared" si="39"/>
        <v>1.3227381288893336E-3</v>
      </c>
      <c r="O24" s="10">
        <f t="shared" si="39"/>
        <v>4.8002865952116724E-3</v>
      </c>
      <c r="AC24" s="81"/>
      <c r="AD24" s="81"/>
      <c r="AE24" s="73"/>
      <c r="AF24" s="112"/>
      <c r="AG24" s="112"/>
      <c r="AH24" s="107"/>
      <c r="AI24" s="107"/>
      <c r="AJ24" s="107"/>
      <c r="AK24" s="107"/>
      <c r="AL24" s="81"/>
      <c r="AM24" s="107"/>
      <c r="AN24" s="107"/>
      <c r="AO24" s="107"/>
      <c r="AP24" s="107"/>
      <c r="AQ24" s="107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1"/>
      <c r="BJ24" s="81"/>
    </row>
    <row r="25" spans="1:62" ht="15.75" thickBot="1" x14ac:dyDescent="0.3">
      <c r="A25" s="34" t="s">
        <v>89</v>
      </c>
      <c r="B25" s="113">
        <v>0</v>
      </c>
      <c r="C25" s="18">
        <f t="shared" ref="C25:K25" si="40">AVERAGE(C14:C15)</f>
        <v>5.717245569979994</v>
      </c>
      <c r="D25" s="18">
        <f t="shared" si="40"/>
        <v>9.829842750264195</v>
      </c>
      <c r="E25" s="18">
        <f t="shared" si="40"/>
        <v>12.778432512236943</v>
      </c>
      <c r="F25" s="18">
        <f t="shared" si="40"/>
        <v>14.378829485316928</v>
      </c>
      <c r="G25" s="18">
        <v>0</v>
      </c>
      <c r="H25" s="18">
        <f t="shared" si="40"/>
        <v>0.12970117313964746</v>
      </c>
      <c r="I25" s="18">
        <f t="shared" si="40"/>
        <v>0.2230098517071038</v>
      </c>
      <c r="J25" s="18">
        <f t="shared" si="40"/>
        <v>0.28990419042172111</v>
      </c>
      <c r="K25" s="18">
        <f t="shared" si="40"/>
        <v>0.32621302581602218</v>
      </c>
      <c r="L25" s="18">
        <f>_xlfn.STDEV.P(H14:H15)</f>
        <v>4.1697655899285702E-3</v>
      </c>
      <c r="M25" s="18">
        <f t="shared" ref="M25:O25" si="41">_xlfn.STDEV.P(I14:I15)</f>
        <v>5.8633985799132898E-3</v>
      </c>
      <c r="N25" s="18">
        <f t="shared" si="41"/>
        <v>7.1499377782364704E-3</v>
      </c>
      <c r="O25" s="20">
        <f t="shared" si="41"/>
        <v>8.8443179645883163E-3</v>
      </c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</row>
    <row r="26" spans="1:62" x14ac:dyDescent="0.25">
      <c r="A26" s="2"/>
      <c r="B26" s="2"/>
      <c r="C26" s="2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73"/>
      <c r="AQ26" s="109"/>
      <c r="AR26" s="109"/>
      <c r="AS26" s="109"/>
      <c r="AT26" s="109"/>
      <c r="AU26" s="109"/>
      <c r="AV26" s="109"/>
      <c r="AW26" s="109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</row>
    <row r="27" spans="1:62" x14ac:dyDescent="0.25">
      <c r="AC27" s="81"/>
      <c r="AD27" s="81"/>
      <c r="AE27" s="81"/>
      <c r="AF27" s="81"/>
      <c r="AG27" s="81"/>
      <c r="AH27" s="81"/>
      <c r="AI27" s="81"/>
      <c r="AJ27" s="73"/>
      <c r="AK27" s="73"/>
      <c r="AL27" s="73"/>
      <c r="AM27" s="73"/>
      <c r="AN27" s="81"/>
      <c r="AO27" s="81"/>
      <c r="AP27" s="81"/>
      <c r="AQ27" s="81"/>
      <c r="AR27" s="81"/>
      <c r="AS27" s="81"/>
      <c r="AT27" s="81"/>
      <c r="AU27" s="81"/>
      <c r="AV27" s="81"/>
      <c r="AW27" s="81"/>
      <c r="AX27" s="81"/>
      <c r="AY27" s="81"/>
      <c r="AZ27" s="81"/>
      <c r="BA27" s="81"/>
      <c r="BB27" s="81"/>
      <c r="BC27" s="81"/>
      <c r="BD27" s="81"/>
      <c r="BE27" s="81"/>
      <c r="BF27" s="81"/>
      <c r="BG27" s="81"/>
      <c r="BH27" s="81"/>
      <c r="BI27" s="81"/>
      <c r="BJ27" s="81"/>
    </row>
    <row r="28" spans="1:62" ht="15.75" thickBot="1" x14ac:dyDescent="0.3"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</row>
    <row r="29" spans="1:62" ht="15.75" thickBot="1" x14ac:dyDescent="0.3">
      <c r="A29" s="2"/>
      <c r="B29" s="30"/>
      <c r="C29" s="31"/>
      <c r="D29" s="31" t="s">
        <v>154</v>
      </c>
      <c r="E29" s="31"/>
      <c r="F29" s="32"/>
      <c r="G29" s="30"/>
      <c r="H29" s="134" t="s">
        <v>155</v>
      </c>
      <c r="I29" s="134"/>
      <c r="J29" s="134"/>
      <c r="K29" s="135"/>
      <c r="L29" s="48"/>
      <c r="M29" s="48"/>
      <c r="N29" s="48"/>
      <c r="O29" s="48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</row>
    <row r="30" spans="1:62" x14ac:dyDescent="0.25">
      <c r="A30" s="130" t="s">
        <v>141</v>
      </c>
      <c r="B30" s="33">
        <v>0</v>
      </c>
      <c r="C30" s="73">
        <v>2</v>
      </c>
      <c r="D30" s="73">
        <v>4</v>
      </c>
      <c r="E30" s="73">
        <v>6</v>
      </c>
      <c r="F30" s="74">
        <v>8</v>
      </c>
      <c r="G30" s="33">
        <v>0</v>
      </c>
      <c r="H30" s="73">
        <v>2</v>
      </c>
      <c r="I30" s="73">
        <v>4</v>
      </c>
      <c r="J30" s="73">
        <v>6</v>
      </c>
      <c r="K30" s="74">
        <v>8</v>
      </c>
      <c r="L30" s="2"/>
      <c r="M30" s="2"/>
      <c r="N30" s="2"/>
      <c r="O30" s="2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</row>
    <row r="31" spans="1:62" x14ac:dyDescent="0.25">
      <c r="A31" s="128" t="s">
        <v>57</v>
      </c>
      <c r="B31" s="33">
        <v>0</v>
      </c>
      <c r="C31" s="81">
        <v>3.01323446260781</v>
      </c>
      <c r="D31" s="81">
        <v>3.6699867403501876</v>
      </c>
      <c r="E31" s="81">
        <v>3.8701233362333967</v>
      </c>
      <c r="F31" s="10">
        <v>3.7663821559783237</v>
      </c>
      <c r="G31" s="8">
        <v>0</v>
      </c>
      <c r="H31" s="81">
        <v>6.8380659670898902E-2</v>
      </c>
      <c r="I31" s="81">
        <v>8.3284628993459495E-2</v>
      </c>
      <c r="J31" s="81">
        <v>8.7826417102088064E-2</v>
      </c>
      <c r="K31" s="10">
        <v>8.5472172708261476E-2</v>
      </c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81"/>
      <c r="AQ31" s="81"/>
      <c r="AR31" s="81"/>
      <c r="AS31" s="81"/>
      <c r="AT31" s="81"/>
      <c r="AU31" s="81"/>
      <c r="AV31" s="81"/>
      <c r="AW31" s="81"/>
      <c r="AX31" s="81"/>
      <c r="AY31" s="81"/>
      <c r="AZ31" s="81"/>
      <c r="BA31" s="81"/>
      <c r="BB31" s="81"/>
      <c r="BC31" s="81"/>
      <c r="BD31" s="81"/>
      <c r="BE31" s="81"/>
      <c r="BF31" s="81"/>
      <c r="BG31" s="81"/>
      <c r="BH31" s="81"/>
      <c r="BI31" s="81"/>
      <c r="BJ31" s="81"/>
    </row>
    <row r="32" spans="1:62" x14ac:dyDescent="0.25">
      <c r="A32" s="128" t="s">
        <v>58</v>
      </c>
      <c r="B32" s="33">
        <v>0</v>
      </c>
      <c r="C32" s="81">
        <v>2.919460916305388</v>
      </c>
      <c r="D32" s="81">
        <v>3.7672995507026021</v>
      </c>
      <c r="E32" s="81">
        <v>3.8761043320742035</v>
      </c>
      <c r="F32" s="10">
        <v>4.1070998197418529</v>
      </c>
      <c r="G32" s="8">
        <v>0</v>
      </c>
      <c r="H32" s="81">
        <v>6.6330423165314234E-2</v>
      </c>
      <c r="I32" s="81">
        <v>8.5593395682390619E-2</v>
      </c>
      <c r="J32" s="81">
        <v>8.8065450420469163E-2</v>
      </c>
      <c r="K32" s="10">
        <v>9.3313689354136239E-2</v>
      </c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</row>
    <row r="33" spans="1:62" x14ac:dyDescent="0.25">
      <c r="A33" s="128" t="s">
        <v>60</v>
      </c>
      <c r="B33" s="33">
        <v>0</v>
      </c>
      <c r="C33" s="81">
        <v>4.1970023340616516</v>
      </c>
      <c r="D33" s="81">
        <v>7.23778052636544</v>
      </c>
      <c r="E33" s="81">
        <v>7.2585327925084542</v>
      </c>
      <c r="F33" s="10">
        <v>10.640895668645994</v>
      </c>
      <c r="G33" s="8">
        <v>0</v>
      </c>
      <c r="H33" s="81">
        <v>9.5336955822527741E-2</v>
      </c>
      <c r="I33" s="81">
        <v>0.16440971611933286</v>
      </c>
      <c r="J33" s="81">
        <v>0.16488111397023167</v>
      </c>
      <c r="K33" s="10">
        <v>0.2417131370265585</v>
      </c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81"/>
      <c r="AQ33" s="81"/>
      <c r="AR33" s="81"/>
      <c r="AS33" s="81"/>
      <c r="AT33" s="81"/>
      <c r="AU33" s="81"/>
      <c r="AV33" s="81"/>
      <c r="AW33" s="81"/>
      <c r="AX33" s="81"/>
      <c r="AY33" s="81"/>
      <c r="AZ33" s="81"/>
      <c r="BA33" s="81"/>
      <c r="BB33" s="81"/>
      <c r="BC33" s="81"/>
      <c r="BD33" s="81"/>
      <c r="BE33" s="81"/>
      <c r="BF33" s="81"/>
      <c r="BG33" s="81"/>
      <c r="BH33" s="81"/>
      <c r="BI33" s="81"/>
      <c r="BJ33" s="81"/>
    </row>
    <row r="34" spans="1:62" x14ac:dyDescent="0.25">
      <c r="A34" s="128" t="s">
        <v>61</v>
      </c>
      <c r="B34" s="33">
        <v>0</v>
      </c>
      <c r="C34" s="81">
        <v>4.4046495647209332</v>
      </c>
      <c r="D34" s="81">
        <v>7.4799502619900187</v>
      </c>
      <c r="E34" s="81">
        <v>7.8600417536283622</v>
      </c>
      <c r="F34" s="10">
        <v>12.093961572404991</v>
      </c>
      <c r="G34" s="8">
        <v>0</v>
      </c>
      <c r="H34" s="81">
        <v>9.98563778550529E-2</v>
      </c>
      <c r="I34" s="81">
        <v>0.16957551985082839</v>
      </c>
      <c r="J34" s="81">
        <v>0.17819245044901408</v>
      </c>
      <c r="K34" s="10">
        <v>0.27417826975642196</v>
      </c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</row>
    <row r="35" spans="1:62" x14ac:dyDescent="0.25">
      <c r="A35" s="128" t="s">
        <v>63</v>
      </c>
      <c r="B35" s="33">
        <v>0</v>
      </c>
      <c r="C35" s="81">
        <v>3.8951611106022086</v>
      </c>
      <c r="D35" s="81">
        <v>6.6072924916533529</v>
      </c>
      <c r="E35" s="81">
        <v>8.0727591246753878</v>
      </c>
      <c r="F35" s="10">
        <v>9.484323987604677</v>
      </c>
      <c r="G35" s="8">
        <v>0</v>
      </c>
      <c r="H35" s="81">
        <v>8.8467661858526628E-2</v>
      </c>
      <c r="I35" s="81">
        <v>0.15006612084951718</v>
      </c>
      <c r="J35" s="81">
        <v>0.18335008597287589</v>
      </c>
      <c r="K35" s="10">
        <v>0.21540982353934049</v>
      </c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</row>
    <row r="36" spans="1:62" x14ac:dyDescent="0.25">
      <c r="A36" s="128" t="s">
        <v>64</v>
      </c>
      <c r="B36" s="33">
        <v>0</v>
      </c>
      <c r="C36" s="81">
        <v>3.9601067872158957</v>
      </c>
      <c r="D36" s="81">
        <v>6.8753545249993024</v>
      </c>
      <c r="E36" s="81">
        <v>8.3102124625678062</v>
      </c>
      <c r="F36" s="10">
        <v>10.259364023058641</v>
      </c>
      <c r="G36" s="8">
        <v>0</v>
      </c>
      <c r="H36" s="81">
        <v>8.9926677642389596E-2</v>
      </c>
      <c r="I36" s="81">
        <v>0.15612654488073274</v>
      </c>
      <c r="J36" s="81">
        <v>0.18870950643896414</v>
      </c>
      <c r="K36" s="10">
        <v>0.23297112196465278</v>
      </c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  <c r="BC36" s="81"/>
      <c r="BD36" s="81"/>
      <c r="BE36" s="81"/>
      <c r="BF36" s="81"/>
      <c r="BG36" s="81"/>
      <c r="BH36" s="81"/>
      <c r="BI36" s="81"/>
      <c r="BJ36" s="81"/>
    </row>
    <row r="37" spans="1:62" x14ac:dyDescent="0.25">
      <c r="A37" s="128" t="s">
        <v>66</v>
      </c>
      <c r="B37" s="33">
        <v>0</v>
      </c>
      <c r="C37" s="81">
        <v>2.9671107519147037</v>
      </c>
      <c r="D37" s="81">
        <v>4.0632892091365642</v>
      </c>
      <c r="E37" s="81">
        <v>3.6363482055710477</v>
      </c>
      <c r="F37" s="10">
        <v>3.6437180245219003</v>
      </c>
      <c r="G37" s="8">
        <v>0</v>
      </c>
      <c r="H37" s="81">
        <v>6.74010971222095E-2</v>
      </c>
      <c r="I37" s="81">
        <v>9.2301964274137213E-2</v>
      </c>
      <c r="J37" s="81">
        <v>8.2603542323354498E-2</v>
      </c>
      <c r="K37" s="10">
        <v>8.277095565046369E-2</v>
      </c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</row>
    <row r="38" spans="1:62" x14ac:dyDescent="0.25">
      <c r="A38" s="128" t="s">
        <v>67</v>
      </c>
      <c r="B38" s="33">
        <v>0</v>
      </c>
      <c r="C38" s="81">
        <v>3.0754703513947748</v>
      </c>
      <c r="D38" s="81">
        <v>3.940793179646318</v>
      </c>
      <c r="E38" s="81">
        <v>3.8603812087962619</v>
      </c>
      <c r="F38" s="10">
        <v>3.8331274492261329</v>
      </c>
      <c r="G38" s="8">
        <v>0</v>
      </c>
      <c r="H38" s="81">
        <v>6.9853828003571566E-2</v>
      </c>
      <c r="I38" s="81">
        <v>8.9508093890034807E-2</v>
      </c>
      <c r="J38" s="81">
        <v>8.7681679280431885E-2</v>
      </c>
      <c r="K38" s="10">
        <v>8.7062658702782972E-2</v>
      </c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</row>
    <row r="39" spans="1:62" x14ac:dyDescent="0.25">
      <c r="A39" s="128" t="s">
        <v>69</v>
      </c>
      <c r="B39" s="33">
        <v>0</v>
      </c>
      <c r="C39" s="81">
        <v>4.5823922648833628</v>
      </c>
      <c r="D39" s="81">
        <v>7.1821561106267486</v>
      </c>
      <c r="E39" s="81">
        <v>7.7194166633096009</v>
      </c>
      <c r="F39" s="10">
        <v>10.338276397121819</v>
      </c>
      <c r="G39" s="8">
        <v>0</v>
      </c>
      <c r="H39" s="81">
        <v>0.10410231566660605</v>
      </c>
      <c r="I39" s="81">
        <v>0.16316348304030237</v>
      </c>
      <c r="J39" s="81">
        <v>0.17536891295934687</v>
      </c>
      <c r="K39" s="10">
        <v>0.23486389875206201</v>
      </c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</row>
    <row r="40" spans="1:62" x14ac:dyDescent="0.25">
      <c r="A40" s="128" t="s">
        <v>70</v>
      </c>
      <c r="B40" s="33">
        <v>0</v>
      </c>
      <c r="C40" s="81">
        <v>4.5660400341888305</v>
      </c>
      <c r="D40" s="81">
        <v>7.0365987599411817</v>
      </c>
      <c r="E40" s="81">
        <v>7.6858505529855936</v>
      </c>
      <c r="F40" s="10">
        <v>10.645062792458116</v>
      </c>
      <c r="G40" s="8">
        <v>0</v>
      </c>
      <c r="H40" s="81">
        <v>0.10372755559346716</v>
      </c>
      <c r="I40" s="81">
        <v>0.15985168408414707</v>
      </c>
      <c r="J40" s="81">
        <v>0.17460085425193261</v>
      </c>
      <c r="K40" s="10">
        <v>0.24182581281217561</v>
      </c>
      <c r="AC40" s="81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81"/>
      <c r="AR40" s="81"/>
      <c r="AS40" s="81"/>
      <c r="AT40" s="81"/>
      <c r="AU40" s="81"/>
      <c r="AV40" s="81"/>
      <c r="AW40" s="81"/>
      <c r="AX40" s="81"/>
      <c r="AY40" s="81"/>
      <c r="AZ40" s="81"/>
      <c r="BA40" s="81"/>
      <c r="BB40" s="81"/>
      <c r="BC40" s="81"/>
      <c r="BD40" s="81"/>
      <c r="BE40" s="81"/>
      <c r="BF40" s="81"/>
      <c r="BG40" s="81"/>
      <c r="BH40" s="81"/>
      <c r="BI40" s="81"/>
      <c r="BJ40" s="81"/>
    </row>
    <row r="41" spans="1:62" x14ac:dyDescent="0.25">
      <c r="A41" s="128" t="s">
        <v>72</v>
      </c>
      <c r="B41" s="33">
        <v>0</v>
      </c>
      <c r="C41" s="81">
        <v>3.9679849813302477</v>
      </c>
      <c r="D41" s="81">
        <v>6.6464300326477215</v>
      </c>
      <c r="E41" s="81">
        <v>8.9853284305101919</v>
      </c>
      <c r="F41" s="10">
        <v>10.042824519116738</v>
      </c>
      <c r="G41" s="8">
        <v>0</v>
      </c>
      <c r="H41" s="81">
        <v>8.9947484854401405E-2</v>
      </c>
      <c r="I41" s="81">
        <v>0.15066328817025917</v>
      </c>
      <c r="J41" s="81">
        <v>0.2036821451486921</v>
      </c>
      <c r="K41" s="10">
        <v>0.22765378663954214</v>
      </c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1"/>
    </row>
    <row r="42" spans="1:62" ht="15.75" thickBot="1" x14ac:dyDescent="0.3">
      <c r="A42" s="129" t="s">
        <v>73</v>
      </c>
      <c r="B42" s="34">
        <v>0</v>
      </c>
      <c r="C42" s="18">
        <v>3.7430682923850052</v>
      </c>
      <c r="D42" s="18">
        <v>7.0514550955555757</v>
      </c>
      <c r="E42" s="18">
        <v>9.4806847247336243</v>
      </c>
      <c r="F42" s="20">
        <v>10.601738604255532</v>
      </c>
      <c r="G42" s="16">
        <v>0</v>
      </c>
      <c r="H42" s="18">
        <v>8.4985651929096059E-2</v>
      </c>
      <c r="I42" s="18">
        <v>0.16010194352149876</v>
      </c>
      <c r="J42" s="18">
        <v>0.2152571390975932</v>
      </c>
      <c r="K42" s="20">
        <v>0.24071045369317204</v>
      </c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  <c r="BC42" s="81"/>
      <c r="BD42" s="81"/>
      <c r="BE42" s="81"/>
      <c r="BF42" s="81"/>
      <c r="BG42" s="81"/>
      <c r="BH42" s="81"/>
      <c r="BI42" s="81"/>
      <c r="BJ42" s="81"/>
    </row>
    <row r="43" spans="1:62" x14ac:dyDescent="0.25">
      <c r="A43" s="2"/>
      <c r="B43" s="2"/>
      <c r="C43" s="2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  <c r="BC43" s="81"/>
      <c r="BD43" s="81"/>
      <c r="BE43" s="81"/>
      <c r="BF43" s="81"/>
      <c r="BG43" s="81"/>
      <c r="BH43" s="81"/>
      <c r="BI43" s="81"/>
      <c r="BJ43" s="81"/>
    </row>
    <row r="44" spans="1:62" ht="15.75" thickBot="1" x14ac:dyDescent="0.3">
      <c r="A44" s="2"/>
      <c r="B44" s="2"/>
      <c r="C44" s="2"/>
      <c r="D44" s="2" t="s">
        <v>151</v>
      </c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  <c r="BC44" s="81"/>
      <c r="BD44" s="81"/>
      <c r="BE44" s="81"/>
      <c r="BF44" s="81"/>
      <c r="BG44" s="81"/>
      <c r="BH44" s="81"/>
      <c r="BI44" s="81"/>
      <c r="BJ44" s="81"/>
    </row>
    <row r="45" spans="1:62" x14ac:dyDescent="0.25">
      <c r="A45" s="127"/>
      <c r="B45" s="101"/>
      <c r="C45" s="23"/>
      <c r="D45" s="134" t="s">
        <v>154</v>
      </c>
      <c r="E45" s="134"/>
      <c r="F45" s="135"/>
      <c r="G45" s="79"/>
      <c r="H45" s="134" t="s">
        <v>155</v>
      </c>
      <c r="I45" s="134"/>
      <c r="J45" s="134"/>
      <c r="K45" s="24"/>
      <c r="L45" s="133" t="s">
        <v>152</v>
      </c>
      <c r="M45" s="134"/>
      <c r="N45" s="134"/>
      <c r="O45" s="24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  <c r="BC45" s="81"/>
      <c r="BD45" s="81"/>
      <c r="BE45" s="81"/>
      <c r="BF45" s="81"/>
      <c r="BG45" s="81"/>
      <c r="BH45" s="81"/>
      <c r="BI45" s="81"/>
      <c r="BJ45" s="81"/>
    </row>
    <row r="46" spans="1:62" x14ac:dyDescent="0.25">
      <c r="A46" s="128" t="s">
        <v>153</v>
      </c>
      <c r="B46" s="33">
        <v>0</v>
      </c>
      <c r="C46" s="73">
        <v>2</v>
      </c>
      <c r="D46" s="73">
        <v>4</v>
      </c>
      <c r="E46" s="73">
        <v>6</v>
      </c>
      <c r="F46" s="74">
        <v>8</v>
      </c>
      <c r="G46" s="73">
        <v>0</v>
      </c>
      <c r="H46" s="73">
        <v>2</v>
      </c>
      <c r="I46" s="73">
        <v>4</v>
      </c>
      <c r="J46" s="73">
        <v>6</v>
      </c>
      <c r="K46" s="74">
        <v>8</v>
      </c>
      <c r="L46" s="33">
        <v>2</v>
      </c>
      <c r="M46" s="73">
        <v>4</v>
      </c>
      <c r="N46" s="73">
        <v>6</v>
      </c>
      <c r="O46" s="74">
        <v>8</v>
      </c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  <c r="BC46" s="81"/>
      <c r="BD46" s="81"/>
      <c r="BE46" s="81"/>
      <c r="BF46" s="81"/>
      <c r="BG46" s="81"/>
      <c r="BH46" s="81"/>
      <c r="BI46" s="81"/>
      <c r="BJ46" s="81"/>
    </row>
    <row r="47" spans="1:62" x14ac:dyDescent="0.25">
      <c r="A47" s="128" t="s">
        <v>84</v>
      </c>
      <c r="B47" s="33">
        <v>0</v>
      </c>
      <c r="C47" s="81">
        <f>AVERAGE(C31:C32)</f>
        <v>2.9663476894565992</v>
      </c>
      <c r="D47" s="81">
        <f t="shared" ref="D47:F47" si="42">AVERAGE(D31:D32)</f>
        <v>3.7186431455263946</v>
      </c>
      <c r="E47" s="81">
        <f t="shared" si="42"/>
        <v>3.8731138341538003</v>
      </c>
      <c r="F47" s="10">
        <f t="shared" si="42"/>
        <v>3.9367409878600883</v>
      </c>
      <c r="G47" s="81">
        <v>0</v>
      </c>
      <c r="H47" s="75">
        <f>AVERAGE(H31:H32)</f>
        <v>6.7355541418106568E-2</v>
      </c>
      <c r="I47" s="75">
        <f t="shared" ref="I47:K47" si="43">AVERAGE(I31:I32)</f>
        <v>8.4439012337925057E-2</v>
      </c>
      <c r="J47" s="75">
        <f t="shared" si="43"/>
        <v>8.7945933761278614E-2</v>
      </c>
      <c r="K47" s="76">
        <f t="shared" si="43"/>
        <v>8.9392931031198858E-2</v>
      </c>
      <c r="L47" s="8">
        <f>_xlfn.STDEV.P(H31:H32)</f>
        <v>1.0251182527923342E-3</v>
      </c>
      <c r="M47" s="81">
        <f>_xlfn.STDEV.P(I31:I32)</f>
        <v>1.1543833444655621E-3</v>
      </c>
      <c r="N47" s="81">
        <f>_xlfn.STDEV.P(J31:J32)</f>
        <v>1.1951665919054943E-4</v>
      </c>
      <c r="O47" s="10">
        <f t="shared" ref="O47" si="44">_xlfn.STDEV.P(K31:K32)</f>
        <v>3.9207583229373816E-3</v>
      </c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  <c r="BC47" s="81"/>
      <c r="BD47" s="81"/>
      <c r="BE47" s="81"/>
      <c r="BF47" s="81"/>
      <c r="BG47" s="81"/>
      <c r="BH47" s="81"/>
      <c r="BI47" s="81"/>
      <c r="BJ47" s="81"/>
    </row>
    <row r="48" spans="1:62" x14ac:dyDescent="0.25">
      <c r="A48" s="128" t="s">
        <v>85</v>
      </c>
      <c r="B48" s="33">
        <v>0</v>
      </c>
      <c r="C48" s="81">
        <f t="shared" ref="C48:F48" si="45">AVERAGE(C33:C34)</f>
        <v>4.3008259493912924</v>
      </c>
      <c r="D48" s="81">
        <f t="shared" si="45"/>
        <v>7.3588653941777293</v>
      </c>
      <c r="E48" s="81">
        <f t="shared" si="45"/>
        <v>7.5592872730684082</v>
      </c>
      <c r="F48" s="10">
        <f t="shared" si="45"/>
        <v>11.367428620525493</v>
      </c>
      <c r="G48" s="81">
        <v>0</v>
      </c>
      <c r="H48" s="75">
        <f t="shared" ref="H48:K48" si="46">AVERAGE(H33:H34)</f>
        <v>9.7596666838790314E-2</v>
      </c>
      <c r="I48" s="75">
        <f t="shared" si="46"/>
        <v>0.16699261798508064</v>
      </c>
      <c r="J48" s="75">
        <f t="shared" si="46"/>
        <v>0.17153678220962287</v>
      </c>
      <c r="K48" s="78">
        <f t="shared" si="46"/>
        <v>0.25794570339149026</v>
      </c>
      <c r="L48" s="8">
        <f>_xlfn.STDEV.P(H33:H34)</f>
        <v>2.2597110162625791E-3</v>
      </c>
      <c r="M48" s="81">
        <f>_xlfn.STDEV.P(I33:I34)</f>
        <v>2.5829018657477637E-3</v>
      </c>
      <c r="N48" s="81">
        <f>_xlfn.STDEV.P(J33:J34)</f>
        <v>6.6556682393912048E-3</v>
      </c>
      <c r="O48" s="10">
        <f t="shared" ref="O48" si="47">_xlfn.STDEV.P(K33:K34)</f>
        <v>1.6232566364931728E-2</v>
      </c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  <c r="BC48" s="81"/>
      <c r="BD48" s="81"/>
      <c r="BE48" s="81"/>
      <c r="BF48" s="81"/>
      <c r="BG48" s="81"/>
      <c r="BH48" s="81"/>
      <c r="BI48" s="81"/>
      <c r="BJ48" s="81"/>
    </row>
    <row r="49" spans="1:62" x14ac:dyDescent="0.25">
      <c r="A49" s="128" t="s">
        <v>86</v>
      </c>
      <c r="B49" s="33">
        <v>0</v>
      </c>
      <c r="C49" s="81">
        <f t="shared" ref="C49:F49" si="48">AVERAGE(C35:C36)</f>
        <v>3.9276339489090519</v>
      </c>
      <c r="D49" s="81">
        <f t="shared" si="48"/>
        <v>6.7413235083263281</v>
      </c>
      <c r="E49" s="81">
        <f t="shared" si="48"/>
        <v>8.191485793621597</v>
      </c>
      <c r="F49" s="10">
        <f t="shared" si="48"/>
        <v>9.8718440053316598</v>
      </c>
      <c r="G49" s="81">
        <v>0</v>
      </c>
      <c r="H49" s="75">
        <f t="shared" ref="H49:K49" si="49">AVERAGE(H35:H36)</f>
        <v>8.9197169750458105E-2</v>
      </c>
      <c r="I49" s="75">
        <f t="shared" si="49"/>
        <v>0.15309633286512497</v>
      </c>
      <c r="J49" s="75">
        <f t="shared" si="49"/>
        <v>0.18602979620592003</v>
      </c>
      <c r="K49" s="76">
        <f t="shared" si="49"/>
        <v>0.22419047275199663</v>
      </c>
      <c r="L49" s="8">
        <f>_xlfn.STDEV.P(H35:H36)</f>
        <v>7.295078919314843E-4</v>
      </c>
      <c r="M49" s="81">
        <f>_xlfn.STDEV.P(I35:I36)</f>
        <v>3.0302120156077833E-3</v>
      </c>
      <c r="N49" s="81">
        <f>_xlfn.STDEV.P(J35:J36)</f>
        <v>2.6797102330441275E-3</v>
      </c>
      <c r="O49" s="10">
        <f t="shared" ref="O49" si="50">_xlfn.STDEV.P(K35:K36)</f>
        <v>8.7806492126561442E-3</v>
      </c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  <c r="BC49" s="81"/>
      <c r="BD49" s="81"/>
      <c r="BE49" s="81"/>
      <c r="BF49" s="81"/>
      <c r="BG49" s="81"/>
      <c r="BH49" s="81"/>
      <c r="BI49" s="81"/>
      <c r="BJ49" s="81"/>
    </row>
    <row r="50" spans="1:62" x14ac:dyDescent="0.25">
      <c r="A50" s="128" t="s">
        <v>87</v>
      </c>
      <c r="B50" s="33">
        <v>0</v>
      </c>
      <c r="C50" s="81">
        <f t="shared" ref="C50:F50" si="51">AVERAGE(C37:C38)</f>
        <v>3.0212905516547393</v>
      </c>
      <c r="D50" s="81">
        <f t="shared" si="51"/>
        <v>4.0020411943914409</v>
      </c>
      <c r="E50" s="81">
        <f t="shared" si="51"/>
        <v>3.7483647071836548</v>
      </c>
      <c r="F50" s="10">
        <f t="shared" si="51"/>
        <v>3.7384227368740168</v>
      </c>
      <c r="G50" s="81">
        <v>0</v>
      </c>
      <c r="H50" s="75">
        <f t="shared" ref="H50:K50" si="52">AVERAGE(H37:H38)</f>
        <v>6.862746256289054E-2</v>
      </c>
      <c r="I50" s="75">
        <f t="shared" si="52"/>
        <v>9.0905029082086003E-2</v>
      </c>
      <c r="J50" s="75">
        <f t="shared" si="52"/>
        <v>8.5142610801893198E-2</v>
      </c>
      <c r="K50" s="76">
        <f t="shared" si="52"/>
        <v>8.4916807176623338E-2</v>
      </c>
      <c r="L50" s="8">
        <f>_xlfn.STDEV.P(H37:H38)</f>
        <v>1.2263654406810334E-3</v>
      </c>
      <c r="M50" s="81">
        <f>_xlfn.STDEV.P(I37:I38)</f>
        <v>1.3969351920512033E-3</v>
      </c>
      <c r="N50" s="81">
        <f>_xlfn.STDEV.P(J37:J38)</f>
        <v>2.5390684785386933E-3</v>
      </c>
      <c r="O50" s="10">
        <f t="shared" ref="O50" si="53">_xlfn.STDEV.P(K37:K38)</f>
        <v>2.1458515261596409E-3</v>
      </c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1"/>
      <c r="BG50" s="81"/>
      <c r="BH50" s="81"/>
      <c r="BI50" s="81"/>
      <c r="BJ50" s="81"/>
    </row>
    <row r="51" spans="1:62" x14ac:dyDescent="0.25">
      <c r="A51" s="128" t="s">
        <v>88</v>
      </c>
      <c r="B51" s="33">
        <v>0</v>
      </c>
      <c r="C51" s="81">
        <f t="shared" ref="C51:F51" si="54">AVERAGE(C39:C40)</f>
        <v>4.5742161495360971</v>
      </c>
      <c r="D51" s="81">
        <f t="shared" si="54"/>
        <v>7.1093774352839656</v>
      </c>
      <c r="E51" s="81">
        <f t="shared" si="54"/>
        <v>7.7026336081475968</v>
      </c>
      <c r="F51" s="10">
        <f t="shared" si="54"/>
        <v>10.491669594789968</v>
      </c>
      <c r="G51" s="81">
        <v>0</v>
      </c>
      <c r="H51" s="75">
        <f t="shared" ref="H51:K51" si="55">AVERAGE(H39:H40)</f>
        <v>0.10391493563003661</v>
      </c>
      <c r="I51" s="75">
        <f t="shared" si="55"/>
        <v>0.16150758356222472</v>
      </c>
      <c r="J51" s="75">
        <f t="shared" si="55"/>
        <v>0.17498488360563974</v>
      </c>
      <c r="K51" s="78">
        <f t="shared" si="55"/>
        <v>0.23834485578211881</v>
      </c>
      <c r="L51" s="8">
        <f>_xlfn.STDEV.P(H39:H40)</f>
        <v>1.873800365694428E-4</v>
      </c>
      <c r="M51" s="81">
        <f>_xlfn.STDEV.P(I39:I40)</f>
        <v>1.6558994780776493E-3</v>
      </c>
      <c r="N51" s="81">
        <f>_xlfn.STDEV.P(J39:J40)</f>
        <v>3.840293537071271E-4</v>
      </c>
      <c r="O51" s="10">
        <f t="shared" ref="O51" si="56">_xlfn.STDEV.P(K39:K40)</f>
        <v>3.4809570300567971E-3</v>
      </c>
      <c r="AC51" s="81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1"/>
      <c r="AP51" s="81"/>
      <c r="AQ51" s="81"/>
      <c r="AR51" s="81"/>
      <c r="AS51" s="81"/>
      <c r="AT51" s="81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1"/>
      <c r="BG51" s="81"/>
      <c r="BH51" s="81"/>
      <c r="BI51" s="81"/>
      <c r="BJ51" s="81"/>
    </row>
    <row r="52" spans="1:62" ht="15.75" thickBot="1" x14ac:dyDescent="0.3">
      <c r="A52" s="129" t="s">
        <v>89</v>
      </c>
      <c r="B52" s="34">
        <v>0</v>
      </c>
      <c r="C52" s="18">
        <f t="shared" ref="C52:F52" si="57">AVERAGE(C41:C42)</f>
        <v>3.8555266368576264</v>
      </c>
      <c r="D52" s="18">
        <f t="shared" si="57"/>
        <v>6.8489425641016481</v>
      </c>
      <c r="E52" s="18">
        <f t="shared" si="57"/>
        <v>9.2330065776219072</v>
      </c>
      <c r="F52" s="20">
        <f t="shared" si="57"/>
        <v>10.322281561686136</v>
      </c>
      <c r="G52" s="18">
        <v>0</v>
      </c>
      <c r="H52" s="41">
        <f t="shared" ref="H52:K52" si="58">AVERAGE(H41:H42)</f>
        <v>8.7466568391748739E-2</v>
      </c>
      <c r="I52" s="41">
        <f t="shared" si="58"/>
        <v>0.15538261584587898</v>
      </c>
      <c r="J52" s="41">
        <f t="shared" si="58"/>
        <v>0.20946964212314265</v>
      </c>
      <c r="K52" s="77">
        <f t="shared" si="58"/>
        <v>0.23418212016635709</v>
      </c>
      <c r="L52" s="16">
        <f>_xlfn.STDEV.P(H41:H42)</f>
        <v>2.4809164626526728E-3</v>
      </c>
      <c r="M52" s="18">
        <f>_xlfn.STDEV.P(I41:I42)</f>
        <v>4.7193276756197916E-3</v>
      </c>
      <c r="N52" s="18">
        <f>_xlfn.STDEV.P(J41:J42)</f>
        <v>5.7874969744505511E-3</v>
      </c>
      <c r="O52" s="20">
        <f t="shared" ref="O52" si="59">_xlfn.STDEV.P(K41:K42)</f>
        <v>6.52833352681495E-3</v>
      </c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  <c r="BI52" s="81"/>
      <c r="BJ52" s="81"/>
    </row>
  </sheetData>
  <mergeCells count="8">
    <mergeCell ref="H2:K2"/>
    <mergeCell ref="H29:K29"/>
    <mergeCell ref="D45:F45"/>
    <mergeCell ref="H45:J45"/>
    <mergeCell ref="L18:N18"/>
    <mergeCell ref="D18:F18"/>
    <mergeCell ref="H18:J18"/>
    <mergeCell ref="L45:N45"/>
  </mergeCells>
  <pageMargins left="0.7" right="0.7" top="0.75" bottom="0.75" header="0.3" footer="0.3"/>
  <pageSetup paperSize="9" orientation="portrait" horizontalDpi="1200" verticalDpi="1200" r:id="rId1"/>
  <headerFooter>
    <oddHeader>&amp;R&amp;"Calibri"&amp;10&amp;K000000 PUBLIC / CYHOEDDUS&amp;1#_x000D_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9CCF5-A508-4340-8620-2927BB5ED840}">
  <dimension ref="A2:U125"/>
  <sheetViews>
    <sheetView topLeftCell="A15" zoomScaleNormal="100" workbookViewId="0">
      <selection activeCell="E20" sqref="E20"/>
    </sheetView>
  </sheetViews>
  <sheetFormatPr defaultRowHeight="15" x14ac:dyDescent="0.25"/>
  <cols>
    <col min="1" max="1" width="10.7109375" customWidth="1"/>
    <col min="4" max="4" width="10.42578125" customWidth="1"/>
    <col min="8" max="8" width="11" customWidth="1"/>
    <col min="12" max="12" width="10.7109375" customWidth="1"/>
  </cols>
  <sheetData>
    <row r="2" spans="1:21" x14ac:dyDescent="0.25">
      <c r="A2" s="2" t="s">
        <v>156</v>
      </c>
    </row>
    <row r="3" spans="1:21" x14ac:dyDescent="0.25">
      <c r="B3" s="2"/>
      <c r="C3" s="2" t="s">
        <v>157</v>
      </c>
      <c r="D3" s="2" t="s">
        <v>158</v>
      </c>
      <c r="E3" s="2" t="s">
        <v>159</v>
      </c>
      <c r="F3" s="2" t="s">
        <v>157</v>
      </c>
      <c r="G3" s="2" t="s">
        <v>158</v>
      </c>
      <c r="H3" s="2" t="s">
        <v>159</v>
      </c>
      <c r="I3" s="2"/>
      <c r="J3" s="2"/>
    </row>
    <row r="4" spans="1:21" x14ac:dyDescent="0.25">
      <c r="A4" s="2" t="s">
        <v>160</v>
      </c>
      <c r="B4" s="2" t="s">
        <v>161</v>
      </c>
      <c r="C4" s="2" t="s">
        <v>162</v>
      </c>
      <c r="D4" s="2" t="s">
        <v>162</v>
      </c>
      <c r="E4" s="2" t="s">
        <v>162</v>
      </c>
      <c r="F4" s="2" t="s">
        <v>163</v>
      </c>
      <c r="G4" s="2" t="s">
        <v>163</v>
      </c>
      <c r="H4" s="2" t="s">
        <v>163</v>
      </c>
      <c r="I4" s="2" t="s">
        <v>94</v>
      </c>
      <c r="J4" s="2" t="s">
        <v>95</v>
      </c>
      <c r="K4" s="2" t="s">
        <v>164</v>
      </c>
    </row>
    <row r="5" spans="1:21" ht="15.75" x14ac:dyDescent="0.25">
      <c r="A5" s="2" t="s">
        <v>142</v>
      </c>
      <c r="B5" s="44">
        <v>5.7629999999999999</v>
      </c>
      <c r="C5" s="44">
        <v>2393</v>
      </c>
      <c r="D5" s="44">
        <v>12463</v>
      </c>
      <c r="E5" s="44">
        <v>24503</v>
      </c>
      <c r="F5" s="45">
        <v>53</v>
      </c>
      <c r="G5" s="45">
        <v>263</v>
      </c>
      <c r="H5" s="45">
        <v>525</v>
      </c>
      <c r="I5">
        <f t="shared" ref="I5:I12" si="0">LINEST(C5:E5, F5:H5)</f>
        <v>46.807121909348844</v>
      </c>
      <c r="J5">
        <f t="shared" ref="J5:J12" si="1">INTERCEPT(C5:E5, F5:H5)</f>
        <v>-1.9298419207916595</v>
      </c>
      <c r="K5">
        <f t="shared" ref="K5:K12" si="2">RSQ(C5:E5,F5:H5)</f>
        <v>0.9998530101095302</v>
      </c>
    </row>
    <row r="6" spans="1:21" ht="15.75" x14ac:dyDescent="0.25">
      <c r="A6" s="2" t="s">
        <v>143</v>
      </c>
      <c r="B6" s="44">
        <v>6.7279999999999998</v>
      </c>
      <c r="C6" s="44">
        <v>3699</v>
      </c>
      <c r="D6" s="44">
        <v>19273</v>
      </c>
      <c r="E6" s="44">
        <v>37947</v>
      </c>
      <c r="F6" s="45">
        <v>49</v>
      </c>
      <c r="G6" s="45">
        <v>247</v>
      </c>
      <c r="H6" s="45">
        <v>495</v>
      </c>
      <c r="I6">
        <f t="shared" si="0"/>
        <v>76.727538514938729</v>
      </c>
      <c r="J6">
        <f t="shared" si="1"/>
        <v>75.839011561154621</v>
      </c>
      <c r="K6">
        <f t="shared" si="2"/>
        <v>0.99984567374731748</v>
      </c>
    </row>
    <row r="7" spans="1:21" ht="15.75" x14ac:dyDescent="0.25">
      <c r="A7" s="2" t="s">
        <v>144</v>
      </c>
      <c r="B7" s="44">
        <v>7.069</v>
      </c>
      <c r="C7" s="44">
        <v>4295</v>
      </c>
      <c r="D7" s="44">
        <v>22230</v>
      </c>
      <c r="E7" s="44">
        <v>43671</v>
      </c>
      <c r="F7" s="45">
        <v>47</v>
      </c>
      <c r="G7" s="45">
        <v>235</v>
      </c>
      <c r="H7" s="45">
        <v>469</v>
      </c>
      <c r="I7">
        <f t="shared" si="0"/>
        <v>93.240633296542711</v>
      </c>
      <c r="J7">
        <f t="shared" si="1"/>
        <v>57.428131432148803</v>
      </c>
      <c r="K7">
        <f t="shared" si="2"/>
        <v>0.9998679962433189</v>
      </c>
    </row>
    <row r="8" spans="1:21" ht="15.75" x14ac:dyDescent="0.25">
      <c r="A8" s="2" t="s">
        <v>145</v>
      </c>
      <c r="B8" s="44">
        <v>7.7889999999999997</v>
      </c>
      <c r="C8" s="44">
        <v>4527</v>
      </c>
      <c r="D8" s="44">
        <v>22939</v>
      </c>
      <c r="E8" s="44">
        <v>45173</v>
      </c>
      <c r="F8" s="45">
        <v>45</v>
      </c>
      <c r="G8" s="45">
        <v>227</v>
      </c>
      <c r="H8" s="45">
        <v>453</v>
      </c>
      <c r="I8">
        <f t="shared" si="0"/>
        <v>99.573277375291227</v>
      </c>
      <c r="J8">
        <f t="shared" si="1"/>
        <v>149.45796763795079</v>
      </c>
      <c r="K8">
        <f t="shared" si="2"/>
        <v>0.99993684360868584</v>
      </c>
    </row>
    <row r="9" spans="1:21" ht="15.75" x14ac:dyDescent="0.25">
      <c r="A9" s="2" t="s">
        <v>146</v>
      </c>
      <c r="B9" s="44">
        <v>8.2539999999999996</v>
      </c>
      <c r="C9" s="44">
        <v>4872</v>
      </c>
      <c r="D9" s="44">
        <v>24982</v>
      </c>
      <c r="E9" s="44">
        <v>49409</v>
      </c>
      <c r="F9" s="45">
        <v>46</v>
      </c>
      <c r="G9" s="45">
        <v>228</v>
      </c>
      <c r="H9" s="45">
        <v>455</v>
      </c>
      <c r="I9">
        <f t="shared" si="0"/>
        <v>108.84033913644048</v>
      </c>
      <c r="J9">
        <f t="shared" si="1"/>
        <v>-27.202410155037796</v>
      </c>
      <c r="K9">
        <f t="shared" si="2"/>
        <v>0.99994325811602236</v>
      </c>
    </row>
    <row r="10" spans="1:21" ht="15.75" x14ac:dyDescent="0.25">
      <c r="A10" s="2" t="s">
        <v>147</v>
      </c>
      <c r="B10" s="44">
        <v>9.0269999999999992</v>
      </c>
      <c r="C10" s="44">
        <v>4968</v>
      </c>
      <c r="D10" s="44">
        <v>25460</v>
      </c>
      <c r="E10" s="44">
        <v>49984</v>
      </c>
      <c r="F10" s="45">
        <v>44</v>
      </c>
      <c r="G10" s="45">
        <v>221</v>
      </c>
      <c r="H10" s="45">
        <v>443</v>
      </c>
      <c r="I10">
        <f t="shared" si="0"/>
        <v>112.72401110860916</v>
      </c>
      <c r="J10">
        <f t="shared" si="1"/>
        <v>201.13337836823484</v>
      </c>
      <c r="K10">
        <f t="shared" si="2"/>
        <v>0.99982160857664781</v>
      </c>
    </row>
    <row r="11" spans="1:21" ht="15.75" x14ac:dyDescent="0.25">
      <c r="A11" s="2" t="s">
        <v>148</v>
      </c>
      <c r="B11" s="44">
        <v>10.195</v>
      </c>
      <c r="C11" s="44">
        <v>5270</v>
      </c>
      <c r="D11" s="44">
        <v>26765</v>
      </c>
      <c r="E11" s="44">
        <v>52906</v>
      </c>
      <c r="F11" s="45">
        <v>44</v>
      </c>
      <c r="G11" s="45">
        <v>222</v>
      </c>
      <c r="H11" s="45">
        <v>444</v>
      </c>
      <c r="I11">
        <f t="shared" si="0"/>
        <v>119.03577238471503</v>
      </c>
      <c r="J11">
        <f t="shared" si="1"/>
        <v>141.86720228412014</v>
      </c>
      <c r="K11">
        <f t="shared" si="2"/>
        <v>0.99994854831967106</v>
      </c>
    </row>
    <row r="12" spans="1:21" ht="15.75" x14ac:dyDescent="0.25">
      <c r="A12" s="2" t="s">
        <v>149</v>
      </c>
      <c r="B12" s="44">
        <v>11.31</v>
      </c>
      <c r="C12" s="44">
        <v>5864</v>
      </c>
      <c r="D12" s="44">
        <v>29670</v>
      </c>
      <c r="E12" s="44">
        <v>58532</v>
      </c>
      <c r="F12" s="45">
        <v>47</v>
      </c>
      <c r="G12" s="45">
        <v>234</v>
      </c>
      <c r="H12" s="45">
        <v>467</v>
      </c>
      <c r="I12">
        <f t="shared" si="0"/>
        <v>125.33832220373564</v>
      </c>
      <c r="J12">
        <f t="shared" si="1"/>
        <v>104.31166386857876</v>
      </c>
      <c r="K12">
        <f t="shared" si="2"/>
        <v>0.99993944251727673</v>
      </c>
    </row>
    <row r="14" spans="1:21" x14ac:dyDescent="0.25">
      <c r="A14" s="2" t="s">
        <v>165</v>
      </c>
      <c r="B14" s="2" t="s">
        <v>57</v>
      </c>
      <c r="C14" s="2"/>
      <c r="G14" s="2" t="s">
        <v>165</v>
      </c>
      <c r="H14" s="2" t="s">
        <v>58</v>
      </c>
      <c r="I14" s="2"/>
      <c r="L14" s="2"/>
      <c r="M14" s="2"/>
      <c r="N14" s="2"/>
      <c r="Q14" s="2"/>
      <c r="R14" s="2"/>
    </row>
    <row r="15" spans="1:21" x14ac:dyDescent="0.25">
      <c r="A15" s="2" t="s">
        <v>160</v>
      </c>
      <c r="B15" s="2" t="s">
        <v>166</v>
      </c>
      <c r="C15" s="2" t="s">
        <v>167</v>
      </c>
      <c r="D15" s="2" t="s">
        <v>168</v>
      </c>
      <c r="E15" s="2" t="s">
        <v>169</v>
      </c>
      <c r="F15" s="2" t="s">
        <v>170</v>
      </c>
      <c r="G15" s="2" t="s">
        <v>160</v>
      </c>
      <c r="H15" s="2" t="s">
        <v>166</v>
      </c>
      <c r="I15" s="2" t="s">
        <v>167</v>
      </c>
      <c r="J15" s="2" t="s">
        <v>168</v>
      </c>
      <c r="K15" s="2" t="s">
        <v>169</v>
      </c>
      <c r="L15" s="2" t="s">
        <v>170</v>
      </c>
      <c r="M15" s="2"/>
      <c r="N15" s="2"/>
      <c r="O15" s="2"/>
      <c r="P15" s="2"/>
      <c r="Q15" s="2"/>
      <c r="R15" s="2"/>
      <c r="S15" s="2"/>
      <c r="T15" s="2"/>
      <c r="U15" s="2"/>
    </row>
    <row r="16" spans="1:21" x14ac:dyDescent="0.25">
      <c r="A16" s="2" t="s">
        <v>142</v>
      </c>
      <c r="B16">
        <v>51787</v>
      </c>
      <c r="C16">
        <v>2</v>
      </c>
      <c r="D16">
        <f>IF(B16=0,0,(B16-$J$5)/$I$5)*C16</f>
        <v>2212.8653815639505</v>
      </c>
      <c r="E16">
        <f>1.07*D16/1000</f>
        <v>2.3677659582734272</v>
      </c>
      <c r="F16">
        <f>D16*0.4/1000</f>
        <v>0.88514615262558027</v>
      </c>
      <c r="G16" s="2" t="s">
        <v>142</v>
      </c>
      <c r="H16">
        <v>50280</v>
      </c>
      <c r="I16">
        <v>2</v>
      </c>
      <c r="J16">
        <f>IF(H16=0,0,(H16-$J$5)/$I$5)*I16</f>
        <v>2148.4734711654178</v>
      </c>
      <c r="K16">
        <f>1.07*J16/1000</f>
        <v>2.2988666141469971</v>
      </c>
      <c r="L16">
        <f>J16*0.4/1000</f>
        <v>0.85938938846616708</v>
      </c>
      <c r="Q16" s="2"/>
    </row>
    <row r="17" spans="1:21" x14ac:dyDescent="0.25">
      <c r="A17" s="2" t="s">
        <v>143</v>
      </c>
      <c r="B17">
        <v>13489</v>
      </c>
      <c r="C17">
        <v>2</v>
      </c>
      <c r="D17">
        <f>IF(B17=0,0,(B17-$J$6)/$I$6)*C17</f>
        <v>349.63094732479459</v>
      </c>
      <c r="E17">
        <f>1.51*D17/1000</f>
        <v>0.52794273046043982</v>
      </c>
      <c r="F17">
        <f>D17*0.49/1000</f>
        <v>0.17131916418914936</v>
      </c>
      <c r="G17" s="2" t="s">
        <v>143</v>
      </c>
      <c r="H17">
        <v>13034</v>
      </c>
      <c r="I17">
        <v>2</v>
      </c>
      <c r="J17">
        <f>IF(H17=0,0,(H17-$J$6)/$I$6)*I17</f>
        <v>337.77079883556831</v>
      </c>
      <c r="K17">
        <f>1.51*J17/1000</f>
        <v>0.51003390624170819</v>
      </c>
      <c r="L17">
        <f>J17*0.49/1000</f>
        <v>0.16550769142942845</v>
      </c>
      <c r="Q17" s="2"/>
    </row>
    <row r="18" spans="1:21" x14ac:dyDescent="0.25">
      <c r="A18" s="2" t="s">
        <v>144</v>
      </c>
      <c r="B18">
        <v>5139</v>
      </c>
      <c r="C18">
        <v>2</v>
      </c>
      <c r="D18">
        <f>IF(B18=0,0,(B18-$J$7)/$I$7)*C18</f>
        <v>108.99908524658791</v>
      </c>
      <c r="E18">
        <f>1.82*D18/1000</f>
        <v>0.19837833514879</v>
      </c>
      <c r="F18">
        <f>D18*0.54/1000</f>
        <v>5.8859506033157476E-2</v>
      </c>
      <c r="G18" s="2" t="s">
        <v>144</v>
      </c>
      <c r="H18">
        <v>4902</v>
      </c>
      <c r="I18">
        <v>2</v>
      </c>
      <c r="J18">
        <f>IF(H18=0,0,(H18-$J$7)/$I$7)*I18</f>
        <v>103.91546469145409</v>
      </c>
      <c r="K18">
        <f>1.82*J18/1000</f>
        <v>0.18912614573844644</v>
      </c>
      <c r="L18">
        <f>J18*0.54/1000</f>
        <v>5.611435093338521E-2</v>
      </c>
      <c r="Q18" s="2"/>
    </row>
    <row r="19" spans="1:21" x14ac:dyDescent="0.25">
      <c r="A19" s="2" t="s">
        <v>145</v>
      </c>
      <c r="B19">
        <v>7266</v>
      </c>
      <c r="C19">
        <v>2</v>
      </c>
      <c r="D19">
        <f>IF(B19=0,0,(B19-$J$8)/$I$8)*C19</f>
        <v>142.94080138669807</v>
      </c>
      <c r="E19">
        <f>1.82*D19/1000</f>
        <v>0.26015225852379054</v>
      </c>
      <c r="F19">
        <f>D19*0.54/1000</f>
        <v>7.718803274881697E-2</v>
      </c>
      <c r="G19" s="2" t="s">
        <v>145</v>
      </c>
      <c r="H19">
        <v>7107</v>
      </c>
      <c r="I19">
        <v>2</v>
      </c>
      <c r="J19">
        <f>IF(H19=0,0,(H19-$J$8)/$I$8)*I19</f>
        <v>139.74717345375919</v>
      </c>
      <c r="K19">
        <f>1.82*J19/1000</f>
        <v>0.25433985568584172</v>
      </c>
      <c r="L19">
        <f>J19*0.54/1000</f>
        <v>7.5463473665029965E-2</v>
      </c>
      <c r="Q19" s="2"/>
    </row>
    <row r="20" spans="1:21" x14ac:dyDescent="0.25">
      <c r="A20" s="2" t="s">
        <v>146</v>
      </c>
      <c r="B20">
        <v>8484</v>
      </c>
      <c r="C20">
        <v>2</v>
      </c>
      <c r="D20">
        <f>IF(B20=0,0,(B20-$J$9)/$I$9)*C20</f>
        <v>156.39793991243511</v>
      </c>
      <c r="E20">
        <f>2.04*D20/1000</f>
        <v>0.31905179742136763</v>
      </c>
      <c r="F20">
        <f>D20*0.59/1000</f>
        <v>9.2274784548336708E-2</v>
      </c>
      <c r="G20" s="2" t="s">
        <v>146</v>
      </c>
      <c r="H20">
        <v>8173</v>
      </c>
      <c r="I20">
        <v>2</v>
      </c>
      <c r="J20">
        <f>IF(H20=0,0,(H20-$J$9)/$I$9)*I20</f>
        <v>150.68314698790854</v>
      </c>
      <c r="K20">
        <f>2.04*J20/1000</f>
        <v>0.30739361985533342</v>
      </c>
      <c r="L20">
        <f>J20*0.59/1000</f>
        <v>8.8903056722866039E-2</v>
      </c>
      <c r="Q20" s="2"/>
    </row>
    <row r="21" spans="1:21" x14ac:dyDescent="0.25">
      <c r="A21" s="2" t="s">
        <v>147</v>
      </c>
      <c r="B21">
        <v>514</v>
      </c>
      <c r="C21">
        <v>2</v>
      </c>
      <c r="D21">
        <f>IF(B21=0,0,(B21-$J$10)/$I$10)*C21</f>
        <v>5.5510200276730632</v>
      </c>
      <c r="E21">
        <f>2.04*D21/1000</f>
        <v>1.1324080856453049E-2</v>
      </c>
      <c r="F21">
        <f>D21*0.59/1000</f>
        <v>3.2751018163271069E-3</v>
      </c>
      <c r="G21" s="2" t="s">
        <v>147</v>
      </c>
      <c r="H21">
        <v>353</v>
      </c>
      <c r="I21">
        <v>2</v>
      </c>
      <c r="J21">
        <f>IF(H21=0,0,(H21-$J$10)/$I$10)*I21</f>
        <v>2.694485764624579</v>
      </c>
      <c r="K21">
        <f>2.04*J21/1000</f>
        <v>5.4967509598341418E-3</v>
      </c>
      <c r="L21">
        <f>J21*0.59/1000</f>
        <v>1.5897466011285015E-3</v>
      </c>
      <c r="Q21" s="2"/>
    </row>
    <row r="22" spans="1:21" x14ac:dyDescent="0.25">
      <c r="A22" s="2" t="s">
        <v>148</v>
      </c>
      <c r="B22">
        <v>4350</v>
      </c>
      <c r="C22">
        <v>2</v>
      </c>
      <c r="D22">
        <f>IF(B22=0,0,(B22-$J$11)/$I$11)*1</f>
        <v>35.351833431344474</v>
      </c>
      <c r="E22">
        <f>2.21*D22/1000</f>
        <v>7.8127551883271279E-2</v>
      </c>
      <c r="F22">
        <f>D22*0.62/1000</f>
        <v>2.1918136727433573E-2</v>
      </c>
      <c r="G22" s="2" t="s">
        <v>148</v>
      </c>
      <c r="H22">
        <v>4268</v>
      </c>
      <c r="I22">
        <v>2</v>
      </c>
      <c r="J22">
        <f>IF(H22=0,0,(H22-$J$11)/$I$11)*1</f>
        <v>34.662964880679027</v>
      </c>
      <c r="K22">
        <f>2.21*J22/1000</f>
        <v>7.660515238630064E-2</v>
      </c>
      <c r="L22">
        <f>J22*0.62/1000</f>
        <v>2.1491038226020998E-2</v>
      </c>
      <c r="Q22" s="2"/>
    </row>
    <row r="23" spans="1:21" x14ac:dyDescent="0.25">
      <c r="A23" s="2" t="s">
        <v>149</v>
      </c>
      <c r="B23">
        <v>292</v>
      </c>
      <c r="C23">
        <v>2</v>
      </c>
      <c r="D23">
        <f>IF(B23=0,0,(B23-$J$12)/$I$12)*1</f>
        <v>1.4974537143263857</v>
      </c>
      <c r="E23">
        <f>2.34*D23/1000</f>
        <v>3.5040416915237422E-3</v>
      </c>
      <c r="F23">
        <f>D23*0.65/1000</f>
        <v>9.7334491431215074E-4</v>
      </c>
      <c r="G23" s="2" t="s">
        <v>149</v>
      </c>
      <c r="H23">
        <v>294</v>
      </c>
      <c r="I23">
        <v>2</v>
      </c>
      <c r="J23">
        <f>IF(H23=0,0,(H23-$J$12)/$I$12)*1</f>
        <v>1.5134105259769279</v>
      </c>
      <c r="K23">
        <f>2.34*J23/1000</f>
        <v>3.5413806307860113E-3</v>
      </c>
      <c r="L23">
        <f>J23*0.65/1000</f>
        <v>9.8371684188500326E-4</v>
      </c>
      <c r="Q23" s="2"/>
    </row>
    <row r="24" spans="1:21" x14ac:dyDescent="0.25">
      <c r="B24" s="2" t="s">
        <v>171</v>
      </c>
      <c r="C24" s="2"/>
      <c r="D24" s="2">
        <f>SUM(D16:D23)</f>
        <v>3013.2344626078102</v>
      </c>
      <c r="E24" s="2">
        <f>SUM(E16:E23)</f>
        <v>3.7662467542590639</v>
      </c>
      <c r="F24" s="2">
        <f>SUM(F16:F23)</f>
        <v>1.3109542236031133</v>
      </c>
      <c r="H24" s="2" t="s">
        <v>171</v>
      </c>
      <c r="I24" s="2"/>
      <c r="J24" s="2">
        <f>SUM(J16:J23)</f>
        <v>2919.4609163053879</v>
      </c>
      <c r="K24" s="2">
        <f>SUM(K16:K23)</f>
        <v>3.6454034256452479</v>
      </c>
      <c r="L24" s="2">
        <f>SUM(L16:L23)</f>
        <v>1.2694424628859113</v>
      </c>
      <c r="M24" s="2"/>
      <c r="N24" s="2"/>
      <c r="O24" s="2"/>
      <c r="P24" s="2"/>
      <c r="R24" s="2"/>
      <c r="S24" s="2"/>
      <c r="T24" s="2"/>
      <c r="U24" s="2"/>
    </row>
    <row r="26" spans="1:21" x14ac:dyDescent="0.25">
      <c r="A26" s="2" t="s">
        <v>165</v>
      </c>
      <c r="B26" s="2" t="s">
        <v>60</v>
      </c>
      <c r="C26" s="2"/>
      <c r="G26" s="2" t="s">
        <v>165</v>
      </c>
      <c r="H26" s="2" t="s">
        <v>61</v>
      </c>
      <c r="I26" s="2"/>
      <c r="L26" s="2"/>
      <c r="M26" s="2"/>
      <c r="N26" s="2"/>
      <c r="Q26" s="2"/>
      <c r="R26" s="2"/>
      <c r="S26" s="2"/>
    </row>
    <row r="27" spans="1:21" x14ac:dyDescent="0.25">
      <c r="A27" s="2" t="s">
        <v>160</v>
      </c>
      <c r="B27" s="2" t="s">
        <v>166</v>
      </c>
      <c r="C27" s="2" t="s">
        <v>167</v>
      </c>
      <c r="D27" s="2" t="s">
        <v>168</v>
      </c>
      <c r="E27" s="2" t="s">
        <v>169</v>
      </c>
      <c r="F27" s="2" t="s">
        <v>170</v>
      </c>
      <c r="G27" s="2" t="s">
        <v>160</v>
      </c>
      <c r="H27" s="2" t="s">
        <v>166</v>
      </c>
      <c r="I27" s="2" t="s">
        <v>167</v>
      </c>
      <c r="J27" s="2" t="s">
        <v>168</v>
      </c>
      <c r="K27" s="2" t="s">
        <v>169</v>
      </c>
      <c r="L27" s="2" t="s">
        <v>170</v>
      </c>
      <c r="M27" s="2"/>
      <c r="N27" s="2"/>
      <c r="O27" s="2"/>
      <c r="P27" s="2"/>
      <c r="Q27" s="2"/>
      <c r="R27" s="2"/>
      <c r="S27" s="2"/>
      <c r="T27" s="2"/>
      <c r="U27" s="2"/>
    </row>
    <row r="28" spans="1:21" x14ac:dyDescent="0.25">
      <c r="A28" s="2" t="s">
        <v>142</v>
      </c>
      <c r="B28">
        <v>51445</v>
      </c>
      <c r="C28">
        <v>2</v>
      </c>
      <c r="D28">
        <f t="shared" ref="D28" si="3">IF(B28=0,0,(B28-$J$5)/$I$5)*C28</f>
        <v>2198.25222074358</v>
      </c>
      <c r="E28">
        <f t="shared" ref="E28" si="4">1.07*D28/1000</f>
        <v>2.3521298761956309</v>
      </c>
      <c r="F28">
        <f t="shared" ref="F28" si="5">D28*0.4/1000</f>
        <v>0.87930088829743203</v>
      </c>
      <c r="G28" s="2" t="s">
        <v>142</v>
      </c>
      <c r="H28">
        <v>52931</v>
      </c>
      <c r="I28">
        <v>2</v>
      </c>
      <c r="J28">
        <f t="shared" ref="J28" si="6">IF(H28=0,0,(H28-$J$5)/$I$5)*I28</f>
        <v>2261.746831793494</v>
      </c>
      <c r="K28">
        <f t="shared" ref="K28" si="7">1.07*J28/1000</f>
        <v>2.420069110019039</v>
      </c>
      <c r="L28">
        <f t="shared" ref="L28" si="8">J28*0.4/1000</f>
        <v>0.90469873271739765</v>
      </c>
      <c r="Q28" s="2"/>
    </row>
    <row r="29" spans="1:21" x14ac:dyDescent="0.25">
      <c r="A29" s="2" t="s">
        <v>143</v>
      </c>
      <c r="B29">
        <v>45987</v>
      </c>
      <c r="C29">
        <v>2</v>
      </c>
      <c r="D29">
        <f t="shared" ref="D29" si="9">IF(B29=0,0,(B29-$J$6)/$I$6)*C29</f>
        <v>1196.7322783201241</v>
      </c>
      <c r="E29">
        <f t="shared" ref="E29" si="10">1.51*D29/1000</f>
        <v>1.8070657402633874</v>
      </c>
      <c r="F29">
        <f t="shared" ref="F29" si="11">D29*0.49/1000</f>
        <v>0.58639881637686087</v>
      </c>
      <c r="G29" s="2" t="s">
        <v>143</v>
      </c>
      <c r="H29">
        <v>48314</v>
      </c>
      <c r="I29">
        <v>2</v>
      </c>
      <c r="J29">
        <f t="shared" ref="J29" si="12">IF(H29=0,0,(H29-$J$6)/$I$6)*I29</f>
        <v>1257.3884663078811</v>
      </c>
      <c r="K29">
        <f t="shared" ref="K29" si="13">1.51*J29/1000</f>
        <v>1.8986565841249006</v>
      </c>
      <c r="L29">
        <f t="shared" ref="L29" si="14">J29*0.49/1000</f>
        <v>0.61612034849086172</v>
      </c>
      <c r="Q29" s="2"/>
    </row>
    <row r="30" spans="1:21" x14ac:dyDescent="0.25">
      <c r="A30" s="2" t="s">
        <v>144</v>
      </c>
      <c r="B30">
        <v>1418</v>
      </c>
      <c r="C30">
        <v>2</v>
      </c>
      <c r="D30">
        <f t="shared" ref="D30" si="15">IF(B30=0,0,(B30-$J$7)/$I$7)*C30</f>
        <v>29.184097543410832</v>
      </c>
      <c r="E30">
        <f t="shared" ref="E30:E31" si="16">1.82*D30/1000</f>
        <v>5.3115057529007713E-2</v>
      </c>
      <c r="F30">
        <f t="shared" ref="F30:F31" si="17">D30*0.54/1000</f>
        <v>1.5759412673441851E-2</v>
      </c>
      <c r="G30" s="2" t="s">
        <v>144</v>
      </c>
      <c r="H30">
        <v>1492</v>
      </c>
      <c r="I30">
        <v>2</v>
      </c>
      <c r="J30">
        <f t="shared" ref="J30" si="18">IF(H30=0,0,(H30-$J$7)/$I$7)*I30</f>
        <v>30.771388349655151</v>
      </c>
      <c r="K30">
        <f t="shared" ref="K30:K31" si="19">1.82*J30/1000</f>
        <v>5.6003926796372373E-2</v>
      </c>
      <c r="L30">
        <f t="shared" ref="L30:L31" si="20">J30*0.54/1000</f>
        <v>1.6616549708813783E-2</v>
      </c>
      <c r="Q30" s="2"/>
    </row>
    <row r="31" spans="1:21" x14ac:dyDescent="0.25">
      <c r="A31" s="2" t="s">
        <v>145</v>
      </c>
      <c r="B31">
        <v>35273</v>
      </c>
      <c r="C31">
        <v>2</v>
      </c>
      <c r="D31">
        <f t="shared" ref="D31" si="21">IF(B31=0,0,(B31-$J$8)/$I$8)*C31</f>
        <v>705.48128892015029</v>
      </c>
      <c r="E31">
        <f t="shared" si="16"/>
        <v>1.2839759458346736</v>
      </c>
      <c r="F31">
        <f t="shared" si="17"/>
        <v>0.38095989601688118</v>
      </c>
      <c r="G31" s="2" t="s">
        <v>145</v>
      </c>
      <c r="H31">
        <v>39244</v>
      </c>
      <c r="I31">
        <v>2</v>
      </c>
      <c r="J31">
        <f t="shared" ref="J31" si="22">IF(H31=0,0,(H31-$J$8)/$I$8)*I31</f>
        <v>785.24164440254185</v>
      </c>
      <c r="K31">
        <f t="shared" si="19"/>
        <v>1.4291397928126262</v>
      </c>
      <c r="L31">
        <f t="shared" si="20"/>
        <v>0.42403048797737264</v>
      </c>
      <c r="Q31" s="2"/>
    </row>
    <row r="32" spans="1:21" x14ac:dyDescent="0.25">
      <c r="A32" s="2" t="s">
        <v>146</v>
      </c>
      <c r="B32">
        <v>1536</v>
      </c>
      <c r="C32">
        <v>2</v>
      </c>
      <c r="D32">
        <f t="shared" ref="D32" si="23">IF(B32=0,0,(B32-$J$9)/$I$9)*C32</f>
        <v>28.724688338124942</v>
      </c>
      <c r="E32">
        <f t="shared" ref="E32:E33" si="24">2.04*D32/1000</f>
        <v>5.8598364209774885E-2</v>
      </c>
      <c r="F32">
        <f t="shared" ref="F32:F33" si="25">D32*0.59/1000</f>
        <v>1.6947566119493714E-2</v>
      </c>
      <c r="G32" s="2" t="s">
        <v>146</v>
      </c>
      <c r="H32">
        <v>1607</v>
      </c>
      <c r="I32">
        <v>2</v>
      </c>
      <c r="J32">
        <f t="shared" ref="J32" si="26">IF(H32=0,0,(H32-$J$9)/$I$9)*I32</f>
        <v>30.029351674592419</v>
      </c>
      <c r="K32">
        <f t="shared" ref="K32:K33" si="27">2.04*J32/1000</f>
        <v>6.1259877416168534E-2</v>
      </c>
      <c r="L32">
        <f t="shared" ref="L32:L33" si="28">J32*0.59/1000</f>
        <v>1.7717317488009528E-2</v>
      </c>
      <c r="Q32" s="2"/>
    </row>
    <row r="33" spans="1:21" x14ac:dyDescent="0.25">
      <c r="A33" s="2" t="s">
        <v>147</v>
      </c>
      <c r="B33">
        <v>1034</v>
      </c>
      <c r="C33">
        <v>2</v>
      </c>
      <c r="D33">
        <f t="shared" ref="D33" si="29">IF(B33=0,0,(B33-$J$10)/$I$10)*C33</f>
        <v>14.777093423854502</v>
      </c>
      <c r="E33">
        <f t="shared" si="24"/>
        <v>3.0145270584663188E-2</v>
      </c>
      <c r="F33">
        <f t="shared" si="25"/>
        <v>8.718485120074157E-3</v>
      </c>
      <c r="G33" s="2" t="s">
        <v>147</v>
      </c>
      <c r="H33">
        <v>1145</v>
      </c>
      <c r="I33">
        <v>2</v>
      </c>
      <c r="J33">
        <f t="shared" ref="J33" si="30">IF(H33=0,0,(H33-$J$10)/$I$10)*I33</f>
        <v>16.746505244962464</v>
      </c>
      <c r="K33">
        <f t="shared" si="27"/>
        <v>3.416287069972343E-2</v>
      </c>
      <c r="L33">
        <f t="shared" si="28"/>
        <v>9.8804380945278544E-3</v>
      </c>
      <c r="Q33" s="2"/>
    </row>
    <row r="34" spans="1:21" x14ac:dyDescent="0.25">
      <c r="A34" s="2" t="s">
        <v>148</v>
      </c>
      <c r="B34">
        <v>2967</v>
      </c>
      <c r="C34">
        <v>2</v>
      </c>
      <c r="D34">
        <f t="shared" ref="D34" si="31">IF(B34=0,0,(B34-$J$11)/$I$11)*1</f>
        <v>23.733477265852944</v>
      </c>
      <c r="E34">
        <f t="shared" ref="E34" si="32">2.21*D34/1000</f>
        <v>5.2450984757535006E-2</v>
      </c>
      <c r="F34">
        <f t="shared" ref="F34" si="33">D34*0.62/1000</f>
        <v>1.4714755904828826E-2</v>
      </c>
      <c r="G34" s="2" t="s">
        <v>148</v>
      </c>
      <c r="H34">
        <v>2847</v>
      </c>
      <c r="I34">
        <v>2</v>
      </c>
      <c r="J34">
        <f t="shared" ref="J34" si="34">IF(H34=0,0,(H34-$J$11)/$I$11)*1</f>
        <v>22.725376947805955</v>
      </c>
      <c r="K34">
        <f t="shared" ref="K34" si="35">2.21*J34/1000</f>
        <v>5.022308305465116E-2</v>
      </c>
      <c r="L34">
        <f t="shared" ref="L34" si="36">J34*0.62/1000</f>
        <v>1.4089733707639692E-2</v>
      </c>
      <c r="Q34" s="2"/>
    </row>
    <row r="35" spans="1:21" x14ac:dyDescent="0.25">
      <c r="A35" s="2" t="s">
        <v>149</v>
      </c>
      <c r="B35">
        <v>119</v>
      </c>
      <c r="C35">
        <v>2</v>
      </c>
      <c r="D35">
        <f t="shared" ref="D35" si="37">IF(B35=0,0,(B35-$J$12)/$I$12)*1</f>
        <v>0.11718950655447229</v>
      </c>
      <c r="E35">
        <f t="shared" ref="E35" si="38">2.34*D35/1000</f>
        <v>2.7422344533746513E-4</v>
      </c>
      <c r="F35">
        <f t="shared" ref="F35" si="39">D35*0.65/1000</f>
        <v>7.6173179260406992E-5</v>
      </c>
      <c r="G35" s="2" t="s">
        <v>149</v>
      </c>
      <c r="H35">
        <v>0</v>
      </c>
      <c r="I35">
        <v>2</v>
      </c>
      <c r="J35">
        <f t="shared" ref="J35" si="40">IF(H35=0,0,(H35-$J$12)/$I$12)*1</f>
        <v>0</v>
      </c>
      <c r="K35">
        <f t="shared" ref="K35" si="41">2.34*J35/1000</f>
        <v>0</v>
      </c>
      <c r="L35">
        <f t="shared" ref="L35" si="42">J35*0.65/1000</f>
        <v>0</v>
      </c>
      <c r="Q35" s="2"/>
    </row>
    <row r="36" spans="1:21" x14ac:dyDescent="0.25">
      <c r="B36" s="2" t="s">
        <v>171</v>
      </c>
      <c r="C36" s="2"/>
      <c r="D36" s="2">
        <f t="shared" ref="D36:F36" si="43">SUM(D28:D35)</f>
        <v>4197.0023340616517</v>
      </c>
      <c r="E36" s="2">
        <f t="shared" si="43"/>
        <v>5.6377554628200111</v>
      </c>
      <c r="F36" s="2">
        <f t="shared" si="43"/>
        <v>1.9028759936882733</v>
      </c>
      <c r="H36" s="2" t="s">
        <v>171</v>
      </c>
      <c r="I36" s="2"/>
      <c r="J36" s="2">
        <f t="shared" ref="J36:L36" si="44">SUM(J28:J35)</f>
        <v>4404.6495647209331</v>
      </c>
      <c r="K36" s="2">
        <f t="shared" si="44"/>
        <v>5.9495152449234814</v>
      </c>
      <c r="L36" s="2">
        <f t="shared" si="44"/>
        <v>2.0031536081846228</v>
      </c>
      <c r="M36" s="2"/>
      <c r="N36" s="2"/>
      <c r="O36" s="2"/>
      <c r="P36" s="2"/>
      <c r="R36" s="2"/>
      <c r="S36" s="2"/>
      <c r="T36" s="2"/>
      <c r="U36" s="2"/>
    </row>
    <row r="38" spans="1:21" x14ac:dyDescent="0.25">
      <c r="A38" s="2" t="s">
        <v>165</v>
      </c>
      <c r="B38" s="2" t="s">
        <v>63</v>
      </c>
      <c r="C38" s="2"/>
      <c r="G38" s="2" t="s">
        <v>165</v>
      </c>
      <c r="H38" s="2" t="s">
        <v>64</v>
      </c>
      <c r="I38" s="2"/>
      <c r="L38" s="2"/>
      <c r="M38" s="2"/>
      <c r="N38" s="2"/>
      <c r="Q38" s="2"/>
      <c r="R38" s="2"/>
      <c r="S38" s="2"/>
    </row>
    <row r="39" spans="1:21" x14ac:dyDescent="0.25">
      <c r="A39" s="2" t="s">
        <v>160</v>
      </c>
      <c r="B39" s="2" t="s">
        <v>166</v>
      </c>
      <c r="C39" s="2" t="s">
        <v>167</v>
      </c>
      <c r="D39" s="2" t="s">
        <v>168</v>
      </c>
      <c r="E39" s="2" t="s">
        <v>169</v>
      </c>
      <c r="F39" s="2" t="s">
        <v>170</v>
      </c>
      <c r="G39" s="2" t="s">
        <v>160</v>
      </c>
      <c r="H39" s="2" t="s">
        <v>166</v>
      </c>
      <c r="I39" s="2" t="s">
        <v>167</v>
      </c>
      <c r="J39" s="2" t="s">
        <v>168</v>
      </c>
      <c r="K39" s="2" t="s">
        <v>169</v>
      </c>
      <c r="L39" s="2" t="s">
        <v>170</v>
      </c>
      <c r="M39" s="2"/>
      <c r="N39" s="2"/>
      <c r="O39" s="2"/>
      <c r="P39" s="2"/>
      <c r="Q39" s="2"/>
      <c r="R39" s="2"/>
      <c r="S39" s="2"/>
      <c r="T39" s="2"/>
      <c r="U39" s="2"/>
    </row>
    <row r="40" spans="1:21" x14ac:dyDescent="0.25">
      <c r="A40" s="2" t="s">
        <v>142</v>
      </c>
      <c r="B40">
        <v>35658</v>
      </c>
      <c r="C40">
        <v>2</v>
      </c>
      <c r="D40">
        <f t="shared" ref="D40" si="45">IF(B40=0,0,(B40-$J$5)/$I$5)*C40</f>
        <v>1523.6967532839651</v>
      </c>
      <c r="E40">
        <f t="shared" ref="E40" si="46">1.07*D40/1000</f>
        <v>1.6303555260138427</v>
      </c>
      <c r="F40">
        <f t="shared" ref="F40" si="47">D40*0.4/1000</f>
        <v>0.60947870131358606</v>
      </c>
      <c r="G40" s="2" t="s">
        <v>142</v>
      </c>
      <c r="H40">
        <v>36255</v>
      </c>
      <c r="I40">
        <v>2</v>
      </c>
      <c r="J40">
        <f t="shared" ref="J40" si="48">IF(H40=0,0,(H40-$J$5)/$I$5)*I40</f>
        <v>1549.2056919089978</v>
      </c>
      <c r="K40">
        <f t="shared" ref="K40" si="49">1.07*J40/1000</f>
        <v>1.6576500903426277</v>
      </c>
      <c r="L40">
        <f t="shared" ref="L40" si="50">J40*0.4/1000</f>
        <v>0.6196822767635991</v>
      </c>
      <c r="Q40" s="2"/>
    </row>
    <row r="41" spans="1:21" x14ac:dyDescent="0.25">
      <c r="A41" s="2" t="s">
        <v>143</v>
      </c>
      <c r="B41">
        <v>14838</v>
      </c>
      <c r="C41">
        <v>2</v>
      </c>
      <c r="D41">
        <f t="shared" ref="D41" si="51">IF(B41=0,0,(B41-$J$6)/$I$6)*C41</f>
        <v>384.79433262581927</v>
      </c>
      <c r="E41">
        <f t="shared" ref="E41" si="52">1.51*D41/1000</f>
        <v>0.58103944226498705</v>
      </c>
      <c r="F41">
        <f t="shared" ref="F41" si="53">D41*0.49/1000</f>
        <v>0.18854922298665144</v>
      </c>
      <c r="G41" s="2" t="s">
        <v>143</v>
      </c>
      <c r="H41">
        <v>15775</v>
      </c>
      <c r="I41">
        <v>2</v>
      </c>
      <c r="J41">
        <f t="shared" ref="J41" si="54">IF(H41=0,0,(H41-$J$6)/$I$6)*I41</f>
        <v>409.2184186355006</v>
      </c>
      <c r="K41">
        <f t="shared" ref="K41" si="55">1.51*J41/1000</f>
        <v>0.6179198121396059</v>
      </c>
      <c r="L41">
        <f t="shared" ref="L41" si="56">J41*0.49/1000</f>
        <v>0.2005170251313953</v>
      </c>
      <c r="Q41" s="2"/>
    </row>
    <row r="42" spans="1:21" x14ac:dyDescent="0.25">
      <c r="A42" s="2" t="s">
        <v>144</v>
      </c>
      <c r="B42">
        <v>625</v>
      </c>
      <c r="C42">
        <v>2</v>
      </c>
      <c r="D42">
        <f t="shared" ref="D42" si="57">IF(B42=0,0,(B42-$J$7)/$I$7)*C42</f>
        <v>12.174346065684569</v>
      </c>
      <c r="E42">
        <f t="shared" ref="E42:E43" si="58">1.82*D42/1000</f>
        <v>2.2157309839545915E-2</v>
      </c>
      <c r="F42">
        <f t="shared" ref="F42:F43" si="59">D42*0.54/1000</f>
        <v>6.5741468754696676E-3</v>
      </c>
      <c r="G42" s="2" t="s">
        <v>144</v>
      </c>
      <c r="H42">
        <v>828</v>
      </c>
      <c r="I42">
        <v>2</v>
      </c>
      <c r="J42">
        <f t="shared" ref="J42" si="60">IF(H42=0,0,(H42-$J$7)/$I$7)*I42</f>
        <v>16.528670844976411</v>
      </c>
      <c r="K42">
        <f t="shared" ref="K42:K43" si="61">1.82*J42/1000</f>
        <v>3.0082180937857066E-2</v>
      </c>
      <c r="L42">
        <f t="shared" ref="L42:L43" si="62">J42*0.54/1000</f>
        <v>8.9254822562872625E-3</v>
      </c>
      <c r="Q42" s="2"/>
    </row>
    <row r="43" spans="1:21" x14ac:dyDescent="0.25">
      <c r="A43" s="2" t="s">
        <v>145</v>
      </c>
      <c r="B43">
        <v>93999</v>
      </c>
      <c r="C43">
        <v>2</v>
      </c>
      <c r="D43">
        <f t="shared" ref="D43" si="63">IF(B43=0,0,(B43-$J$8)/$I$8)*C43</f>
        <v>1885.0347102394462</v>
      </c>
      <c r="E43">
        <f t="shared" si="58"/>
        <v>3.4307631726357921</v>
      </c>
      <c r="F43">
        <f t="shared" si="59"/>
        <v>1.0179187435293009</v>
      </c>
      <c r="G43" s="2" t="s">
        <v>145</v>
      </c>
      <c r="H43">
        <v>93650</v>
      </c>
      <c r="I43">
        <v>2</v>
      </c>
      <c r="J43">
        <f t="shared" ref="J43" si="64">IF(H43=0,0,(H43-$J$8)/$I$8)*I43</f>
        <v>1878.0247973551966</v>
      </c>
      <c r="K43">
        <f t="shared" si="61"/>
        <v>3.4180051311864581</v>
      </c>
      <c r="L43">
        <f t="shared" si="62"/>
        <v>1.0141333905718062</v>
      </c>
      <c r="Q43" s="2"/>
    </row>
    <row r="44" spans="1:21" x14ac:dyDescent="0.25">
      <c r="A44" s="2" t="s">
        <v>146</v>
      </c>
      <c r="B44">
        <v>718</v>
      </c>
      <c r="C44">
        <v>2</v>
      </c>
      <c r="D44">
        <f t="shared" ref="D44" si="65">IF(B44=0,0,(B44-$J$9)/$I$9)*C44</f>
        <v>13.693496658823603</v>
      </c>
      <c r="E44">
        <f t="shared" ref="E44:E45" si="66">2.04*D44/1000</f>
        <v>2.7934733184000152E-2</v>
      </c>
      <c r="F44">
        <f t="shared" ref="F44:F45" si="67">D44*0.59/1000</f>
        <v>8.0791630287059251E-3</v>
      </c>
      <c r="G44" s="2" t="s">
        <v>146</v>
      </c>
      <c r="H44">
        <v>1005</v>
      </c>
      <c r="I44">
        <v>2</v>
      </c>
      <c r="J44">
        <f t="shared" ref="J44" si="68">IF(H44=0,0,(H44-$J$9)/$I$9)*I44</f>
        <v>18.967276624544244</v>
      </c>
      <c r="K44">
        <f t="shared" ref="K44:K45" si="69">2.04*J44/1000</f>
        <v>3.8693244314070258E-2</v>
      </c>
      <c r="L44">
        <f t="shared" ref="L44:L45" si="70">J44*0.59/1000</f>
        <v>1.1190693208481104E-2</v>
      </c>
      <c r="Q44" s="2"/>
    </row>
    <row r="45" spans="1:21" x14ac:dyDescent="0.25">
      <c r="A45" s="2" t="s">
        <v>147</v>
      </c>
      <c r="B45">
        <v>3337</v>
      </c>
      <c r="C45">
        <v>2</v>
      </c>
      <c r="D45">
        <f t="shared" ref="D45" si="71">IF(B45=0,0,(B45-$J$10)/$I$10)*C45</f>
        <v>55.637953099634991</v>
      </c>
      <c r="E45">
        <f t="shared" si="66"/>
        <v>0.11350142432325538</v>
      </c>
      <c r="F45">
        <f t="shared" si="67"/>
        <v>3.2826392328784641E-2</v>
      </c>
      <c r="G45" s="2" t="s">
        <v>147</v>
      </c>
      <c r="H45">
        <v>3903</v>
      </c>
      <c r="I45">
        <v>2</v>
      </c>
      <c r="J45">
        <f t="shared" ref="J45" si="72">IF(H45=0,0,(H45-$J$10)/$I$10)*I45</f>
        <v>65.680179142401713</v>
      </c>
      <c r="K45">
        <f t="shared" si="69"/>
        <v>0.1339875654504995</v>
      </c>
      <c r="L45">
        <f t="shared" si="70"/>
        <v>3.8751305694017003E-2</v>
      </c>
      <c r="Q45" s="2"/>
    </row>
    <row r="46" spans="1:21" x14ac:dyDescent="0.25">
      <c r="A46" s="2" t="s">
        <v>148</v>
      </c>
      <c r="B46">
        <v>2538</v>
      </c>
      <c r="C46">
        <v>2</v>
      </c>
      <c r="D46">
        <f t="shared" ref="D46" si="73">IF(B46=0,0,(B46-$J$11)/$I$11)*1</f>
        <v>20.129518628834965</v>
      </c>
      <c r="E46">
        <f t="shared" ref="E46" si="74">2.21*D46/1000</f>
        <v>4.4486236169725274E-2</v>
      </c>
      <c r="F46">
        <f t="shared" ref="F46" si="75">D46*0.62/1000</f>
        <v>1.2480301549877679E-2</v>
      </c>
      <c r="G46" s="2" t="s">
        <v>148</v>
      </c>
      <c r="H46">
        <v>2818</v>
      </c>
      <c r="I46">
        <v>2</v>
      </c>
      <c r="J46">
        <f t="shared" ref="J46" si="76">IF(H46=0,0,(H46-$J$11)/$I$11)*1</f>
        <v>22.481752704277934</v>
      </c>
      <c r="K46">
        <f t="shared" ref="K46" si="77">2.21*J46/1000</f>
        <v>4.9684673476454236E-2</v>
      </c>
      <c r="L46">
        <f t="shared" ref="L46" si="78">J46*0.62/1000</f>
        <v>1.3938686676652318E-2</v>
      </c>
      <c r="Q46" s="2"/>
    </row>
    <row r="47" spans="1:21" x14ac:dyDescent="0.25">
      <c r="A47" s="2" t="s">
        <v>149</v>
      </c>
      <c r="B47">
        <v>0</v>
      </c>
      <c r="C47">
        <v>2</v>
      </c>
      <c r="D47">
        <f t="shared" ref="D47" si="79">IF(B47=0,0,(B47-$J$12)/$I$12)*1</f>
        <v>0</v>
      </c>
      <c r="E47">
        <f t="shared" ref="E47" si="80">2.34*D47/1000</f>
        <v>0</v>
      </c>
      <c r="F47">
        <f t="shared" ref="F47" si="81">D47*0.65/1000</f>
        <v>0</v>
      </c>
      <c r="G47" s="2" t="s">
        <v>149</v>
      </c>
      <c r="H47">
        <v>0</v>
      </c>
      <c r="I47">
        <v>2</v>
      </c>
      <c r="J47">
        <f t="shared" ref="J47" si="82">IF(H47=0,0,(H47-$J$12)/$I$12)*1</f>
        <v>0</v>
      </c>
      <c r="K47">
        <f t="shared" ref="K47" si="83">2.34*J47/1000</f>
        <v>0</v>
      </c>
      <c r="L47">
        <f t="shared" ref="L47" si="84">J47*0.65/1000</f>
        <v>0</v>
      </c>
      <c r="Q47" s="2"/>
    </row>
    <row r="48" spans="1:21" x14ac:dyDescent="0.25">
      <c r="B48" s="2" t="s">
        <v>171</v>
      </c>
      <c r="C48" s="2"/>
      <c r="D48" s="2">
        <f t="shared" ref="D48:F48" si="85">SUM(D40:D47)</f>
        <v>3895.1611106022087</v>
      </c>
      <c r="E48" s="2">
        <f t="shared" si="85"/>
        <v>5.8502378444311489</v>
      </c>
      <c r="F48" s="2">
        <f t="shared" si="85"/>
        <v>1.8759066716123762</v>
      </c>
      <c r="H48" s="2" t="s">
        <v>171</v>
      </c>
      <c r="I48" s="2"/>
      <c r="J48" s="2">
        <f t="shared" ref="J48:L48" si="86">SUM(J40:J47)</f>
        <v>3960.1067872158956</v>
      </c>
      <c r="K48" s="2">
        <f t="shared" si="86"/>
        <v>5.9460226978475728</v>
      </c>
      <c r="L48" s="2">
        <f t="shared" si="86"/>
        <v>1.9071388603022383</v>
      </c>
      <c r="M48" s="2"/>
      <c r="N48" s="2"/>
      <c r="O48" s="2"/>
      <c r="P48" s="2"/>
      <c r="Q48" s="2"/>
      <c r="R48" s="2"/>
      <c r="S48" s="2"/>
      <c r="T48" s="2"/>
      <c r="U48" s="2"/>
    </row>
    <row r="49" spans="1:21" x14ac:dyDescent="0.25">
      <c r="B49" s="2"/>
      <c r="C49" s="2"/>
      <c r="D49" s="2"/>
      <c r="E49" s="2"/>
      <c r="F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x14ac:dyDescent="0.25">
      <c r="A50" s="2" t="s">
        <v>156</v>
      </c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x14ac:dyDescent="0.25">
      <c r="B51" s="2"/>
      <c r="C51" s="2" t="s">
        <v>157</v>
      </c>
      <c r="D51" s="2" t="s">
        <v>158</v>
      </c>
      <c r="E51" s="2" t="s">
        <v>159</v>
      </c>
      <c r="F51" s="2" t="s">
        <v>157</v>
      </c>
      <c r="G51" s="2" t="s">
        <v>158</v>
      </c>
      <c r="H51" s="2" t="s">
        <v>159</v>
      </c>
      <c r="I51" s="2"/>
      <c r="J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x14ac:dyDescent="0.25">
      <c r="A52" s="2" t="s">
        <v>160</v>
      </c>
      <c r="B52" s="2" t="s">
        <v>161</v>
      </c>
      <c r="C52" s="2" t="s">
        <v>162</v>
      </c>
      <c r="D52" s="2" t="s">
        <v>162</v>
      </c>
      <c r="E52" s="2" t="s">
        <v>162</v>
      </c>
      <c r="F52" s="2" t="s">
        <v>163</v>
      </c>
      <c r="G52" s="2" t="s">
        <v>163</v>
      </c>
      <c r="H52" s="2" t="s">
        <v>163</v>
      </c>
      <c r="I52" s="2" t="s">
        <v>94</v>
      </c>
      <c r="J52" s="2" t="s">
        <v>95</v>
      </c>
      <c r="K52" s="2" t="s">
        <v>164</v>
      </c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ht="15.75" x14ac:dyDescent="0.25">
      <c r="A53" s="2" t="s">
        <v>142</v>
      </c>
      <c r="B53" s="44">
        <v>5.7610000000000001</v>
      </c>
      <c r="C53" s="44">
        <v>2168</v>
      </c>
      <c r="D53" s="44">
        <v>10933</v>
      </c>
      <c r="E53" s="44">
        <v>22718</v>
      </c>
      <c r="F53" s="45">
        <v>53</v>
      </c>
      <c r="G53" s="45">
        <v>263</v>
      </c>
      <c r="H53" s="45">
        <v>525</v>
      </c>
      <c r="I53">
        <f>LINEST(C53:E53, F53:H53)</f>
        <v>43.596719200782047</v>
      </c>
      <c r="J53">
        <f>INTERCEPT(C53:E53, F53:H53)</f>
        <v>-281.94694928590252</v>
      </c>
      <c r="K53">
        <f>RSQ(C53:E53,F53:H53)</f>
        <v>0.99955388237436471</v>
      </c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ht="15.75" x14ac:dyDescent="0.25">
      <c r="A54" s="2" t="s">
        <v>143</v>
      </c>
      <c r="B54" s="44">
        <v>6.7279999999999998</v>
      </c>
      <c r="C54" s="44">
        <v>3271</v>
      </c>
      <c r="D54" s="44">
        <v>16977</v>
      </c>
      <c r="E54" s="44">
        <v>35073</v>
      </c>
      <c r="F54" s="45">
        <v>49</v>
      </c>
      <c r="G54" s="45">
        <v>247</v>
      </c>
      <c r="H54" s="45">
        <v>495</v>
      </c>
      <c r="I54">
        <f t="shared" ref="I54:I60" si="87">LINEST(C54:E54, F54:H54)</f>
        <v>71.373748431367332</v>
      </c>
      <c r="J54">
        <f>INTERCEPT(C54:E54, F54:H54)</f>
        <v>-378.54500307051785</v>
      </c>
      <c r="K54">
        <f t="shared" ref="K54:K55" si="88">RSQ(C54:E54,F54:H54)</f>
        <v>0.99977815348685928</v>
      </c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ht="15.75" x14ac:dyDescent="0.25">
      <c r="A55" s="2" t="s">
        <v>144</v>
      </c>
      <c r="B55" s="44">
        <v>7.0659999999999998</v>
      </c>
      <c r="C55" s="44">
        <v>3816</v>
      </c>
      <c r="D55" s="44">
        <v>19675</v>
      </c>
      <c r="E55" s="44">
        <v>40394</v>
      </c>
      <c r="F55" s="45">
        <v>47</v>
      </c>
      <c r="G55" s="45">
        <v>235</v>
      </c>
      <c r="H55" s="45">
        <v>469</v>
      </c>
      <c r="I55">
        <f t="shared" si="87"/>
        <v>86.752580317990635</v>
      </c>
      <c r="J55">
        <f t="shared" ref="J55:J60" si="89">INTERCEPT(C55:E55, F55:H55)</f>
        <v>-422.0626062703268</v>
      </c>
      <c r="K55">
        <f t="shared" si="88"/>
        <v>0.9998120561993884</v>
      </c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15.75" x14ac:dyDescent="0.25">
      <c r="A56" s="2" t="s">
        <v>145</v>
      </c>
      <c r="B56" s="44">
        <v>7.7880000000000003</v>
      </c>
      <c r="C56" s="44">
        <v>3974</v>
      </c>
      <c r="D56" s="44">
        <v>20290</v>
      </c>
      <c r="E56" s="44">
        <v>41595</v>
      </c>
      <c r="F56" s="45">
        <v>45</v>
      </c>
      <c r="G56" s="45">
        <v>227</v>
      </c>
      <c r="H56" s="45">
        <v>453</v>
      </c>
      <c r="I56">
        <f t="shared" si="87"/>
        <v>92.290117448057956</v>
      </c>
      <c r="J56">
        <f t="shared" si="89"/>
        <v>-350.44504994734234</v>
      </c>
      <c r="K56">
        <f>RSQ(C56:E56,F56:H56)</f>
        <v>0.99979747633373273</v>
      </c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ht="15.75" x14ac:dyDescent="0.25">
      <c r="A57" s="2" t="s">
        <v>146</v>
      </c>
      <c r="B57" s="44">
        <v>8.2539999999999996</v>
      </c>
      <c r="C57" s="44">
        <v>4364</v>
      </c>
      <c r="D57" s="44">
        <v>22074</v>
      </c>
      <c r="E57" s="44">
        <v>45501</v>
      </c>
      <c r="F57" s="45">
        <v>46</v>
      </c>
      <c r="G57" s="45">
        <v>228</v>
      </c>
      <c r="H57" s="45">
        <v>455</v>
      </c>
      <c r="I57">
        <f t="shared" si="87"/>
        <v>100.68582247731548</v>
      </c>
      <c r="J57">
        <f t="shared" si="89"/>
        <v>-486.98819532099515</v>
      </c>
      <c r="K57">
        <f t="shared" ref="K57:K60" si="90">RSQ(C57:E57,F57:H57)</f>
        <v>0.99972353138914816</v>
      </c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ht="15.75" x14ac:dyDescent="0.25">
      <c r="A58" s="2" t="s">
        <v>147</v>
      </c>
      <c r="B58" s="44">
        <v>9.0259999999999998</v>
      </c>
      <c r="C58" s="44">
        <v>4380</v>
      </c>
      <c r="D58" s="44">
        <v>22599</v>
      </c>
      <c r="E58" s="44">
        <v>46238</v>
      </c>
      <c r="F58" s="45">
        <v>44</v>
      </c>
      <c r="G58" s="45">
        <v>221</v>
      </c>
      <c r="H58" s="45">
        <v>443</v>
      </c>
      <c r="I58">
        <f t="shared" si="87"/>
        <v>104.97286647151542</v>
      </c>
      <c r="J58">
        <f t="shared" si="89"/>
        <v>-367.92982061097428</v>
      </c>
      <c r="K58">
        <f t="shared" si="90"/>
        <v>0.99990790562789367</v>
      </c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ht="15.75" x14ac:dyDescent="0.25">
      <c r="A59" s="2" t="s">
        <v>148</v>
      </c>
      <c r="B59" s="44">
        <v>10.195</v>
      </c>
      <c r="C59" s="44">
        <v>4605</v>
      </c>
      <c r="D59" s="44">
        <v>23829</v>
      </c>
      <c r="E59" s="44">
        <v>48809</v>
      </c>
      <c r="F59" s="45">
        <v>44</v>
      </c>
      <c r="G59" s="45">
        <v>222</v>
      </c>
      <c r="H59" s="45">
        <v>444</v>
      </c>
      <c r="I59">
        <f t="shared" si="87"/>
        <v>110.59158062481326</v>
      </c>
      <c r="J59">
        <f t="shared" si="89"/>
        <v>-425.67408120580149</v>
      </c>
      <c r="K59">
        <f t="shared" si="90"/>
        <v>0.99986510146953222</v>
      </c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ht="15.75" x14ac:dyDescent="0.25">
      <c r="A60" s="2" t="s">
        <v>149</v>
      </c>
      <c r="B60" s="44">
        <v>11.308999999999999</v>
      </c>
      <c r="C60" s="44">
        <v>5131</v>
      </c>
      <c r="D60" s="44">
        <v>26343</v>
      </c>
      <c r="E60" s="44">
        <v>54288</v>
      </c>
      <c r="F60" s="45">
        <v>47</v>
      </c>
      <c r="G60" s="45">
        <v>234</v>
      </c>
      <c r="H60" s="45">
        <v>467</v>
      </c>
      <c r="I60">
        <f t="shared" si="87"/>
        <v>117.15728116601043</v>
      </c>
      <c r="J60">
        <f t="shared" si="89"/>
        <v>-623.88210405860445</v>
      </c>
      <c r="K60">
        <f t="shared" si="90"/>
        <v>0.99975146913031432</v>
      </c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x14ac:dyDescent="0.25">
      <c r="B61" s="2"/>
      <c r="C61" s="2"/>
      <c r="D61" s="2"/>
      <c r="E61" s="2"/>
      <c r="F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x14ac:dyDescent="0.25">
      <c r="A62" s="2" t="s">
        <v>165</v>
      </c>
      <c r="B62" s="2" t="s">
        <v>66</v>
      </c>
      <c r="C62" s="2"/>
      <c r="G62" s="2" t="s">
        <v>165</v>
      </c>
      <c r="H62" s="2" t="s">
        <v>67</v>
      </c>
      <c r="I62" s="2"/>
      <c r="L62" s="2"/>
      <c r="N62" s="2"/>
    </row>
    <row r="63" spans="1:21" x14ac:dyDescent="0.25">
      <c r="A63" s="2" t="s">
        <v>160</v>
      </c>
      <c r="B63" s="2" t="s">
        <v>166</v>
      </c>
      <c r="C63" s="2" t="s">
        <v>167</v>
      </c>
      <c r="D63" s="2" t="s">
        <v>168</v>
      </c>
      <c r="E63" s="2" t="s">
        <v>169</v>
      </c>
      <c r="F63" s="2" t="s">
        <v>170</v>
      </c>
      <c r="G63" s="2" t="s">
        <v>160</v>
      </c>
      <c r="H63" s="2" t="s">
        <v>166</v>
      </c>
      <c r="I63" s="2" t="s">
        <v>167</v>
      </c>
      <c r="J63" s="2" t="s">
        <v>168</v>
      </c>
      <c r="K63" s="2" t="s">
        <v>169</v>
      </c>
      <c r="L63" s="2" t="s">
        <v>170</v>
      </c>
      <c r="N63" s="2"/>
    </row>
    <row r="64" spans="1:21" x14ac:dyDescent="0.25">
      <c r="A64" s="2" t="s">
        <v>142</v>
      </c>
      <c r="B64">
        <v>46145</v>
      </c>
      <c r="C64">
        <v>2</v>
      </c>
      <c r="D64">
        <f>IF(B64=0,0,(B64-$J$53)/$I$53)*C64</f>
        <v>2129.8367308544211</v>
      </c>
      <c r="E64">
        <f t="shared" ref="E64" si="91">1.07*D64/1000</f>
        <v>2.278925302014231</v>
      </c>
      <c r="F64">
        <f t="shared" ref="F64" si="92">D64*0.4/1000</f>
        <v>0.85193469234176844</v>
      </c>
      <c r="G64" s="2" t="s">
        <v>142</v>
      </c>
      <c r="H64">
        <v>46947</v>
      </c>
      <c r="I64">
        <v>2</v>
      </c>
      <c r="J64">
        <f>IF(H64=0,0,(H64-$J$53)/$I$53)*I64</f>
        <v>2166.6284901749536</v>
      </c>
      <c r="K64">
        <f>1.07*J64/1000</f>
        <v>2.3182924844872006</v>
      </c>
      <c r="L64">
        <f t="shared" ref="L64" si="93">J64*0.4/1000</f>
        <v>0.86665139606998154</v>
      </c>
    </row>
    <row r="65" spans="1:12" x14ac:dyDescent="0.25">
      <c r="A65" s="2" t="s">
        <v>143</v>
      </c>
      <c r="B65">
        <v>12152</v>
      </c>
      <c r="C65">
        <v>2</v>
      </c>
      <c r="D65">
        <f>IF(B65=0,0,(B65-$J$54)/$I$54)*C65</f>
        <v>351.12475604724142</v>
      </c>
      <c r="E65">
        <f t="shared" ref="E65" si="94">1.51*D65/1000</f>
        <v>0.53019838163133459</v>
      </c>
      <c r="F65">
        <f t="shared" ref="F65" si="95">D65*0.49/1000</f>
        <v>0.17205113046314829</v>
      </c>
      <c r="G65" s="2" t="s">
        <v>143</v>
      </c>
      <c r="H65">
        <v>12916</v>
      </c>
      <c r="I65">
        <v>2</v>
      </c>
      <c r="J65">
        <f>IF(H65=0,0,(H65-$J$54)/$I$54)*I65</f>
        <v>372.53318748852013</v>
      </c>
      <c r="K65">
        <f t="shared" ref="K65" si="96">1.51*J65/1000</f>
        <v>0.5625251131076654</v>
      </c>
      <c r="L65">
        <f t="shared" ref="L65" si="97">J65*0.49/1000</f>
        <v>0.18254126186937486</v>
      </c>
    </row>
    <row r="66" spans="1:12" x14ac:dyDescent="0.25">
      <c r="A66" s="2" t="s">
        <v>144</v>
      </c>
      <c r="B66">
        <v>4331</v>
      </c>
      <c r="C66">
        <v>2</v>
      </c>
      <c r="D66">
        <f>IF(B66=0,0,(B66-$J$55)/$I$55)*C66</f>
        <v>109.57743478863748</v>
      </c>
      <c r="E66">
        <f t="shared" ref="E66:E67" si="98">1.82*D66/1000</f>
        <v>0.19943093131532022</v>
      </c>
      <c r="F66">
        <f t="shared" ref="F66:F67" si="99">D66*0.54/1000</f>
        <v>5.9171814785864245E-2</v>
      </c>
      <c r="G66" s="2" t="s">
        <v>144</v>
      </c>
      <c r="H66">
        <v>4705</v>
      </c>
      <c r="I66">
        <v>2</v>
      </c>
      <c r="J66">
        <f>IF(H66=0,0,(H66-$J$55)/$I$55)*I66</f>
        <v>118.19965671285246</v>
      </c>
      <c r="K66">
        <f t="shared" ref="K66:K67" si="100">1.82*J66/1000</f>
        <v>0.21512337521739147</v>
      </c>
      <c r="L66">
        <f t="shared" ref="L66:L67" si="101">J66*0.54/1000</f>
        <v>6.3827814624940332E-2</v>
      </c>
    </row>
    <row r="67" spans="1:12" x14ac:dyDescent="0.25">
      <c r="A67" s="2" t="s">
        <v>145</v>
      </c>
      <c r="B67">
        <v>5650</v>
      </c>
      <c r="C67">
        <v>2</v>
      </c>
      <c r="D67">
        <f>IF(B67=0,0,(B67-$J$56)/$I$56)*C67</f>
        <v>130.03440055918162</v>
      </c>
      <c r="E67">
        <f t="shared" si="98"/>
        <v>0.23666260901771058</v>
      </c>
      <c r="F67">
        <f t="shared" si="99"/>
        <v>7.0218576301958074E-2</v>
      </c>
      <c r="G67" s="2" t="s">
        <v>145</v>
      </c>
      <c r="H67">
        <v>6437</v>
      </c>
      <c r="I67">
        <v>2</v>
      </c>
      <c r="J67">
        <f>IF(H67=0,0,(H67-$J$56)/$I$56)*I67</f>
        <v>147.08931438444429</v>
      </c>
      <c r="K67">
        <f t="shared" si="100"/>
        <v>0.26770255217968864</v>
      </c>
      <c r="L67">
        <f t="shared" si="101"/>
        <v>7.9428229767599931E-2</v>
      </c>
    </row>
    <row r="68" spans="1:12" x14ac:dyDescent="0.25">
      <c r="A68" s="2" t="s">
        <v>146</v>
      </c>
      <c r="B68">
        <v>6982</v>
      </c>
      <c r="C68">
        <v>2</v>
      </c>
      <c r="D68">
        <f>IF(B68=0,0,(B68-$J$57)/$I$57)*C68</f>
        <v>148.36226216464107</v>
      </c>
      <c r="E68">
        <f t="shared" ref="E68:E69" si="102">2.04*D68/1000</f>
        <v>0.30265901481586782</v>
      </c>
      <c r="F68">
        <f t="shared" ref="F68:F69" si="103">D68*0.59/1000</f>
        <v>8.7533734677138222E-2</v>
      </c>
      <c r="G68" s="2" t="s">
        <v>146</v>
      </c>
      <c r="H68">
        <v>7760</v>
      </c>
      <c r="I68">
        <v>2</v>
      </c>
      <c r="J68">
        <f>IF(H68=0,0,(H68-$J$57)/$I$57)*I68</f>
        <v>163.81627507048555</v>
      </c>
      <c r="K68">
        <f t="shared" ref="K68:K69" si="104">2.04*J68/1000</f>
        <v>0.33418520114379047</v>
      </c>
      <c r="L68">
        <f t="shared" ref="L68:L69" si="105">J68*0.59/1000</f>
        <v>9.6651602291586466E-2</v>
      </c>
    </row>
    <row r="69" spans="1:12" x14ac:dyDescent="0.25">
      <c r="A69" s="2" t="s">
        <v>147</v>
      </c>
      <c r="B69">
        <v>240</v>
      </c>
      <c r="C69">
        <v>2</v>
      </c>
      <c r="D69">
        <f>IF(B69=0,0,(B69-$J$58)/$I$58)*C69</f>
        <v>11.582608745393024</v>
      </c>
      <c r="E69">
        <f t="shared" si="102"/>
        <v>2.3628521840601772E-2</v>
      </c>
      <c r="F69">
        <f t="shared" si="103"/>
        <v>6.833739159781884E-3</v>
      </c>
      <c r="G69" s="2" t="s">
        <v>147</v>
      </c>
      <c r="H69">
        <v>420</v>
      </c>
      <c r="I69">
        <v>2</v>
      </c>
      <c r="J69">
        <f>IF(H69=0,0,(H69-$J$58)/$I$58)*I69</f>
        <v>15.012066395743904</v>
      </c>
      <c r="K69">
        <f t="shared" si="104"/>
        <v>3.0624615447317566E-2</v>
      </c>
      <c r="L69">
        <f t="shared" si="105"/>
        <v>8.8571191734889022E-3</v>
      </c>
    </row>
    <row r="70" spans="1:12" x14ac:dyDescent="0.25">
      <c r="A70" s="2" t="s">
        <v>148</v>
      </c>
      <c r="B70">
        <v>3666</v>
      </c>
      <c r="C70">
        <v>2</v>
      </c>
      <c r="D70">
        <f>IF(B70=0,0,(B70-$J$59)/$I$59)*C70</f>
        <v>73.996122635899084</v>
      </c>
      <c r="E70">
        <f t="shared" ref="E70" si="106">2.21*D70/1000</f>
        <v>0.16353143102533699</v>
      </c>
      <c r="F70">
        <f t="shared" ref="F70" si="107">D70*0.62/1000</f>
        <v>4.587759603425743E-2</v>
      </c>
      <c r="G70" s="2" t="s">
        <v>148</v>
      </c>
      <c r="H70">
        <v>3935</v>
      </c>
      <c r="I70">
        <v>2</v>
      </c>
      <c r="J70">
        <f>IF(H70=0,0,(H70-$J$59)/$I$59)*I70</f>
        <v>78.860869092730979</v>
      </c>
      <c r="K70">
        <f t="shared" ref="K70" si="108">2.21*J70/1000</f>
        <v>0.17428252069493547</v>
      </c>
      <c r="L70">
        <f t="shared" ref="L70" si="109">J70*0.62/1000</f>
        <v>4.8893738837493213E-2</v>
      </c>
    </row>
    <row r="71" spans="1:12" x14ac:dyDescent="0.25">
      <c r="A71" s="2" t="s">
        <v>149</v>
      </c>
      <c r="B71">
        <v>114</v>
      </c>
      <c r="C71">
        <v>2</v>
      </c>
      <c r="D71">
        <f>IF(B71=0,0,(B71-$J$60)/$I$60)*C71</f>
        <v>12.596436119288814</v>
      </c>
      <c r="E71">
        <f t="shared" ref="E71" si="110">2.34*D71/1000</f>
        <v>2.9475660519135822E-2</v>
      </c>
      <c r="F71">
        <f t="shared" ref="F71" si="111">D71*0.65/1000</f>
        <v>8.1876834775377293E-3</v>
      </c>
      <c r="G71" s="2" t="s">
        <v>149</v>
      </c>
      <c r="H71">
        <v>157</v>
      </c>
      <c r="I71">
        <v>2</v>
      </c>
      <c r="J71">
        <f>IF(H71=0,0,(H71-$J$60)/$I$60)*I71</f>
        <v>13.330492075044043</v>
      </c>
      <c r="K71">
        <f t="shared" ref="K71" si="112">2.34*J71/1000</f>
        <v>3.119335145560306E-2</v>
      </c>
      <c r="L71">
        <f t="shared" ref="L71" si="113">J71*0.65/1000</f>
        <v>8.6648198487786297E-3</v>
      </c>
    </row>
    <row r="72" spans="1:12" x14ac:dyDescent="0.25">
      <c r="B72" s="2" t="s">
        <v>171</v>
      </c>
      <c r="C72" s="2"/>
      <c r="D72" s="2">
        <f t="shared" ref="D72:F72" si="114">SUM(D64:D71)</f>
        <v>2967.1107519147035</v>
      </c>
      <c r="E72" s="2">
        <f t="shared" si="114"/>
        <v>3.7645118521795391</v>
      </c>
      <c r="F72" s="2">
        <f t="shared" si="114"/>
        <v>1.3018089672414543</v>
      </c>
      <c r="H72" s="2" t="s">
        <v>171</v>
      </c>
      <c r="I72" s="2"/>
      <c r="J72" s="2">
        <f t="shared" ref="J72:L72" si="115">SUM(J64:J71)</f>
        <v>3075.4703513947748</v>
      </c>
      <c r="K72" s="2">
        <f t="shared" si="115"/>
        <v>3.9339292137335926</v>
      </c>
      <c r="L72" s="2">
        <f t="shared" si="115"/>
        <v>1.3555159824832439</v>
      </c>
    </row>
    <row r="74" spans="1:12" x14ac:dyDescent="0.25">
      <c r="A74" s="2" t="s">
        <v>165</v>
      </c>
      <c r="B74" s="2" t="s">
        <v>69</v>
      </c>
      <c r="C74" s="2"/>
      <c r="G74" s="2" t="s">
        <v>165</v>
      </c>
      <c r="H74" s="2" t="s">
        <v>70</v>
      </c>
      <c r="I74" s="2"/>
      <c r="L74" s="2"/>
    </row>
    <row r="75" spans="1:12" x14ac:dyDescent="0.25">
      <c r="A75" s="2" t="s">
        <v>160</v>
      </c>
      <c r="B75" s="2" t="s">
        <v>166</v>
      </c>
      <c r="C75" s="2" t="s">
        <v>167</v>
      </c>
      <c r="D75" s="2" t="s">
        <v>168</v>
      </c>
      <c r="E75" s="2" t="s">
        <v>169</v>
      </c>
      <c r="F75" s="2" t="s">
        <v>170</v>
      </c>
      <c r="G75" s="2" t="s">
        <v>160</v>
      </c>
      <c r="H75" s="2" t="s">
        <v>166</v>
      </c>
      <c r="I75" s="2" t="s">
        <v>167</v>
      </c>
      <c r="J75" s="2" t="s">
        <v>168</v>
      </c>
      <c r="K75" s="2" t="s">
        <v>169</v>
      </c>
      <c r="L75" s="2" t="s">
        <v>170</v>
      </c>
    </row>
    <row r="76" spans="1:12" x14ac:dyDescent="0.25">
      <c r="A76" s="2" t="s">
        <v>142</v>
      </c>
      <c r="B76">
        <v>52564</v>
      </c>
      <c r="C76">
        <v>2</v>
      </c>
      <c r="D76">
        <f>IF(B76=0,0,(B76-$J$53)/$I$53)*C76</f>
        <v>2424.3084304535441</v>
      </c>
      <c r="E76">
        <f t="shared" ref="E76" si="116">1.07*D76/1000</f>
        <v>2.5940100205852925</v>
      </c>
      <c r="F76">
        <f t="shared" ref="F76" si="117">D76*0.4/1000</f>
        <v>0.9697233721814178</v>
      </c>
      <c r="G76" s="2" t="s">
        <v>142</v>
      </c>
      <c r="H76">
        <v>48357</v>
      </c>
      <c r="I76">
        <v>2</v>
      </c>
      <c r="J76">
        <f>IF(H76=0,0,(H76-$J$53)/$I$53)*I76</f>
        <v>2231.3122565614253</v>
      </c>
      <c r="K76">
        <f t="shared" ref="K76" si="118">1.07*J76/1000</f>
        <v>2.3875041145207252</v>
      </c>
      <c r="L76">
        <f t="shared" ref="L76" si="119">J76*0.4/1000</f>
        <v>0.89252490262457018</v>
      </c>
    </row>
    <row r="77" spans="1:12" x14ac:dyDescent="0.25">
      <c r="A77" s="2" t="s">
        <v>143</v>
      </c>
      <c r="B77">
        <v>43056</v>
      </c>
      <c r="C77">
        <v>2</v>
      </c>
      <c r="D77">
        <f>IF(B77=0,0,(B77-$J$54)/$I$54)*C77</f>
        <v>1217.1014121483888</v>
      </c>
      <c r="E77">
        <f t="shared" ref="E77" si="120">1.51*D77/1000</f>
        <v>1.837823132344067</v>
      </c>
      <c r="F77">
        <f t="shared" ref="F77" si="121">D77*0.49/1000</f>
        <v>0.59637969195271046</v>
      </c>
      <c r="G77" s="2" t="s">
        <v>143</v>
      </c>
      <c r="H77">
        <v>39109</v>
      </c>
      <c r="I77">
        <v>2</v>
      </c>
      <c r="J77">
        <f>IF(H77=0,0,(H77-$J$54)/$I$54)*I77</f>
        <v>1106.5005235374897</v>
      </c>
      <c r="K77">
        <f t="shared" ref="K77" si="122">1.51*J77/1000</f>
        <v>1.6708157905416094</v>
      </c>
      <c r="L77">
        <f t="shared" ref="L77" si="123">J77*0.49/1000</f>
        <v>0.54218525653337002</v>
      </c>
    </row>
    <row r="78" spans="1:12" x14ac:dyDescent="0.25">
      <c r="A78" s="2" t="s">
        <v>144</v>
      </c>
      <c r="B78">
        <v>1203</v>
      </c>
      <c r="C78">
        <v>2</v>
      </c>
      <c r="D78">
        <f>IF(B78=0,0,(B78-$J$55)/$I$55)*C78</f>
        <v>37.464305967930351</v>
      </c>
      <c r="E78">
        <f t="shared" ref="E78:E79" si="124">1.82*D78/1000</f>
        <v>6.8185036861633241E-2</v>
      </c>
      <c r="F78">
        <f t="shared" ref="F78:F79" si="125">D78*0.54/1000</f>
        <v>2.0230725222682391E-2</v>
      </c>
      <c r="G78" s="2" t="s">
        <v>144</v>
      </c>
      <c r="H78">
        <v>968</v>
      </c>
      <c r="I78">
        <v>2</v>
      </c>
      <c r="J78">
        <f>IF(H78=0,0,(H78-$J$55)/$I$55)*I78</f>
        <v>32.046599678650885</v>
      </c>
      <c r="K78">
        <f t="shared" ref="K78:K79" si="126">1.82*J78/1000</f>
        <v>5.8324811415144617E-2</v>
      </c>
      <c r="L78">
        <f t="shared" ref="L78:L79" si="127">J78*0.54/1000</f>
        <v>1.730516382647148E-2</v>
      </c>
    </row>
    <row r="79" spans="1:12" x14ac:dyDescent="0.25">
      <c r="A79" s="2" t="s">
        <v>145</v>
      </c>
      <c r="B79">
        <v>35523</v>
      </c>
      <c r="C79">
        <v>2</v>
      </c>
      <c r="D79">
        <f>IF(B79=0,0,(B79-$J$56)/$I$56)*C79</f>
        <v>777.40598976130627</v>
      </c>
      <c r="E79">
        <f t="shared" si="124"/>
        <v>1.4148789013655776</v>
      </c>
      <c r="F79">
        <f t="shared" si="125"/>
        <v>0.4197992344711054</v>
      </c>
      <c r="G79" s="2" t="s">
        <v>145</v>
      </c>
      <c r="H79">
        <v>48722</v>
      </c>
      <c r="I79">
        <v>2</v>
      </c>
      <c r="J79">
        <f>IF(H79=0,0,(H79-$J$56)/$I$56)*I79</f>
        <v>1063.4387821115504</v>
      </c>
      <c r="K79">
        <f t="shared" si="126"/>
        <v>1.9354585834430218</v>
      </c>
      <c r="L79">
        <f t="shared" si="127"/>
        <v>0.57425694234023728</v>
      </c>
    </row>
    <row r="80" spans="1:12" x14ac:dyDescent="0.25">
      <c r="A80" s="2" t="s">
        <v>146</v>
      </c>
      <c r="B80">
        <v>1218</v>
      </c>
      <c r="C80">
        <v>2</v>
      </c>
      <c r="D80">
        <f>IF(B80=0,0,(B80-$J$57)/$I$57)*C80</f>
        <v>33.867493026739268</v>
      </c>
      <c r="E80">
        <f t="shared" ref="E80:E81" si="128">2.04*D80/1000</f>
        <v>6.9089685774548104E-2</v>
      </c>
      <c r="F80">
        <f t="shared" ref="F80:F81" si="129">D80*0.59/1000</f>
        <v>1.9981820885776165E-2</v>
      </c>
      <c r="G80" s="2" t="s">
        <v>146</v>
      </c>
      <c r="H80">
        <v>1047</v>
      </c>
      <c r="I80">
        <v>2</v>
      </c>
      <c r="J80">
        <f>IF(H80=0,0,(H80-$J$57)/$I$57)*I80</f>
        <v>30.470788390621781</v>
      </c>
      <c r="K80">
        <f t="shared" ref="K80:K81" si="130">2.04*J80/1000</f>
        <v>6.2160408316868435E-2</v>
      </c>
      <c r="L80">
        <f t="shared" ref="L80:L81" si="131">J80*0.59/1000</f>
        <v>1.7977765150466851E-2</v>
      </c>
    </row>
    <row r="81" spans="1:12" x14ac:dyDescent="0.25">
      <c r="A81" s="2" t="s">
        <v>147</v>
      </c>
      <c r="B81">
        <v>1112</v>
      </c>
      <c r="C81">
        <v>2</v>
      </c>
      <c r="D81">
        <f>IF(B81=0,0,(B81-$J$58)/$I$58)*C81</f>
        <v>28.196425807092844</v>
      </c>
      <c r="E81">
        <f t="shared" si="128"/>
        <v>5.7520708646469403E-2</v>
      </c>
      <c r="F81">
        <f t="shared" si="129"/>
        <v>1.6635891226184779E-2</v>
      </c>
      <c r="G81" s="2" t="s">
        <v>147</v>
      </c>
      <c r="H81">
        <v>2202</v>
      </c>
      <c r="I81">
        <v>2</v>
      </c>
      <c r="J81">
        <f>IF(H81=0,0,(H81-$J$58)/$I$58)*I81</f>
        <v>48.963697134217625</v>
      </c>
      <c r="K81">
        <f t="shared" si="130"/>
        <v>9.9885942153803947E-2</v>
      </c>
      <c r="L81">
        <f t="shared" si="131"/>
        <v>2.8888581309188397E-2</v>
      </c>
    </row>
    <row r="82" spans="1:12" x14ac:dyDescent="0.25">
      <c r="A82" s="2" t="s">
        <v>148</v>
      </c>
      <c r="B82">
        <v>2426</v>
      </c>
      <c r="C82">
        <v>2</v>
      </c>
      <c r="D82">
        <f>IF(B82=0,0,(B82-$J$59)/$I$59)*C82</f>
        <v>51.571269080242729</v>
      </c>
      <c r="E82">
        <f t="shared" ref="E82" si="132">2.21*D82/1000</f>
        <v>0.11397250466733642</v>
      </c>
      <c r="F82">
        <f t="shared" ref="F82" si="133">D82*0.62/1000</f>
        <v>3.1974186829750492E-2</v>
      </c>
      <c r="G82" s="2" t="s">
        <v>148</v>
      </c>
      <c r="H82">
        <v>2522</v>
      </c>
      <c r="I82">
        <v>2</v>
      </c>
      <c r="J82">
        <f>IF(H82=0,0,(H82-$J$59)/$I$59)*I82</f>
        <v>53.307386774874189</v>
      </c>
      <c r="K82">
        <f t="shared" ref="K82" si="134">2.21*J82/1000</f>
        <v>0.11780932477247195</v>
      </c>
      <c r="L82">
        <f t="shared" ref="L82" si="135">J82*0.62/1000</f>
        <v>3.3050579800422003E-2</v>
      </c>
    </row>
    <row r="83" spans="1:12" x14ac:dyDescent="0.25">
      <c r="A83" s="2" t="s">
        <v>149</v>
      </c>
      <c r="B83">
        <v>107</v>
      </c>
      <c r="C83">
        <v>2</v>
      </c>
      <c r="D83">
        <f>IF(B83=0,0,(B83-$J$60)/$I$60)*C83</f>
        <v>12.476938638119357</v>
      </c>
      <c r="E83">
        <f t="shared" ref="E83" si="136">2.34*D83/1000</f>
        <v>2.9196036413199296E-2</v>
      </c>
      <c r="F83">
        <f t="shared" ref="F83" si="137">D83*0.65/1000</f>
        <v>8.1100101147775824E-3</v>
      </c>
      <c r="G83" s="2" t="s">
        <v>149</v>
      </c>
      <c r="H83">
        <v>0</v>
      </c>
      <c r="I83">
        <v>2</v>
      </c>
      <c r="J83">
        <f>IF(H83=0,0,(H83-$J$60)/$I$60)*I83</f>
        <v>0</v>
      </c>
      <c r="K83">
        <f t="shared" ref="K83" si="138">2.34*J83/1000</f>
        <v>0</v>
      </c>
      <c r="L83">
        <f t="shared" ref="L83" si="139">J83*0.65/1000</f>
        <v>0</v>
      </c>
    </row>
    <row r="84" spans="1:12" x14ac:dyDescent="0.25">
      <c r="B84" s="2" t="s">
        <v>171</v>
      </c>
      <c r="C84" s="2"/>
      <c r="D84" s="2">
        <f t="shared" ref="D84:F84" si="140">SUM(D76:D83)</f>
        <v>4582.3922648833632</v>
      </c>
      <c r="E84" s="2">
        <f t="shared" si="140"/>
        <v>6.1846760266581242</v>
      </c>
      <c r="F84" s="2">
        <f t="shared" si="140"/>
        <v>2.0828349328844049</v>
      </c>
      <c r="H84" s="2" t="s">
        <v>171</v>
      </c>
      <c r="I84" s="2"/>
      <c r="J84" s="2">
        <f t="shared" ref="J84:L84" si="141">SUM(J76:J83)</f>
        <v>4566.0400341888308</v>
      </c>
      <c r="K84" s="2">
        <f t="shared" si="141"/>
        <v>6.331958975163646</v>
      </c>
      <c r="L84" s="2">
        <f t="shared" si="141"/>
        <v>2.1061891915847264</v>
      </c>
    </row>
    <row r="86" spans="1:12" x14ac:dyDescent="0.25">
      <c r="A86" s="2" t="s">
        <v>165</v>
      </c>
      <c r="B86" s="2" t="s">
        <v>72</v>
      </c>
      <c r="C86" s="2"/>
      <c r="G86" s="2" t="s">
        <v>165</v>
      </c>
      <c r="H86" s="2" t="s">
        <v>73</v>
      </c>
      <c r="I86" s="2"/>
      <c r="L86" s="2"/>
    </row>
    <row r="87" spans="1:12" x14ac:dyDescent="0.25">
      <c r="A87" s="2" t="s">
        <v>160</v>
      </c>
      <c r="B87" s="2" t="s">
        <v>166</v>
      </c>
      <c r="C87" s="2" t="s">
        <v>167</v>
      </c>
      <c r="D87" s="2" t="s">
        <v>168</v>
      </c>
      <c r="E87" s="2" t="s">
        <v>169</v>
      </c>
      <c r="F87" s="2" t="s">
        <v>170</v>
      </c>
      <c r="G87" s="2" t="s">
        <v>160</v>
      </c>
      <c r="H87" s="2" t="s">
        <v>166</v>
      </c>
      <c r="I87" s="2" t="s">
        <v>167</v>
      </c>
      <c r="J87" s="2" t="s">
        <v>168</v>
      </c>
      <c r="K87" s="2" t="s">
        <v>169</v>
      </c>
      <c r="L87" s="2" t="s">
        <v>170</v>
      </c>
    </row>
    <row r="88" spans="1:12" x14ac:dyDescent="0.25">
      <c r="A88" s="2" t="s">
        <v>142</v>
      </c>
      <c r="B88">
        <v>34469</v>
      </c>
      <c r="C88">
        <v>2</v>
      </c>
      <c r="D88">
        <f>IF(B88=0,0,(B88-$J$53)/$I$53)*C88</f>
        <v>1594.200095160488</v>
      </c>
      <c r="E88">
        <f t="shared" ref="E88" si="142">1.07*D88/1000</f>
        <v>1.7057941018217222</v>
      </c>
      <c r="F88">
        <f t="shared" ref="F88" si="143">D88*0.4/1000</f>
        <v>0.63768003806419526</v>
      </c>
      <c r="G88" s="2" t="s">
        <v>142</v>
      </c>
      <c r="H88">
        <v>34135</v>
      </c>
      <c r="I88">
        <v>2</v>
      </c>
      <c r="J88">
        <f>IF(H88=0,0,(H88-$J$53)/$I$53)*I88</f>
        <v>1578.8778412788697</v>
      </c>
      <c r="K88">
        <f t="shared" ref="K88" si="144">1.07*J88/1000</f>
        <v>1.6893992901683907</v>
      </c>
      <c r="L88">
        <f t="shared" ref="L88" si="145">J88*0.4/1000</f>
        <v>0.63155113651154793</v>
      </c>
    </row>
    <row r="89" spans="1:12" x14ac:dyDescent="0.25">
      <c r="A89" s="2" t="s">
        <v>143</v>
      </c>
      <c r="B89">
        <v>18253</v>
      </c>
      <c r="C89">
        <v>2</v>
      </c>
      <c r="D89">
        <f>IF(B89=0,0,(B89-$J$54)/$I$54)*C89</f>
        <v>522.08397099912793</v>
      </c>
      <c r="E89">
        <f t="shared" ref="E89" si="146">1.51*D89/1000</f>
        <v>0.7883467962086832</v>
      </c>
      <c r="F89">
        <f t="shared" ref="F89" si="147">D89*0.49/1000</f>
        <v>0.25582114578957266</v>
      </c>
      <c r="G89" s="2" t="s">
        <v>143</v>
      </c>
      <c r="H89">
        <v>15700</v>
      </c>
      <c r="I89">
        <v>2</v>
      </c>
      <c r="J89">
        <f>IF(H89=0,0,(H89-$J$54)/$I$54)*I89</f>
        <v>450.54506331642574</v>
      </c>
      <c r="K89">
        <f t="shared" ref="K89" si="148">1.51*J89/1000</f>
        <v>0.68032304560780288</v>
      </c>
      <c r="L89">
        <f t="shared" ref="L89" si="149">J89*0.49/1000</f>
        <v>0.22076708102504861</v>
      </c>
    </row>
    <row r="90" spans="1:12" x14ac:dyDescent="0.25">
      <c r="A90" s="2" t="s">
        <v>144</v>
      </c>
      <c r="B90">
        <v>779</v>
      </c>
      <c r="C90">
        <v>2</v>
      </c>
      <c r="D90">
        <f>IF(B90=0,0,(B90-$J$55)/$I$55)*C90</f>
        <v>27.689380577911226</v>
      </c>
      <c r="E90">
        <f t="shared" ref="E90:E91" si="150">1.82*D90/1000</f>
        <v>5.0394672651798429E-2</v>
      </c>
      <c r="F90">
        <f t="shared" ref="F90:F91" si="151">D90*0.54/1000</f>
        <v>1.4952265512072063E-2</v>
      </c>
      <c r="G90" s="2" t="s">
        <v>144</v>
      </c>
      <c r="H90">
        <v>635</v>
      </c>
      <c r="I90">
        <v>2</v>
      </c>
      <c r="J90">
        <f>IF(H90=0,0,(H90-$J$55)/$I$55)*I90</f>
        <v>24.369594596395299</v>
      </c>
      <c r="K90">
        <f t="shared" ref="K90:K91" si="152">1.82*J90/1000</f>
        <v>4.4352662165439448E-2</v>
      </c>
      <c r="L90">
        <f t="shared" ref="L90:L91" si="153">J90*0.54/1000</f>
        <v>1.3159581082053461E-2</v>
      </c>
    </row>
    <row r="91" spans="1:12" x14ac:dyDescent="0.25">
      <c r="A91" s="2" t="s">
        <v>145</v>
      </c>
      <c r="B91">
        <v>76871</v>
      </c>
      <c r="C91">
        <v>2</v>
      </c>
      <c r="D91">
        <f>IF(B91=0,0,(B91-$J$56)/$I$56)*C91</f>
        <v>1673.4499247637982</v>
      </c>
      <c r="E91">
        <f t="shared" si="150"/>
        <v>3.0456788630701128</v>
      </c>
      <c r="F91">
        <f t="shared" si="151"/>
        <v>0.903662959372451</v>
      </c>
      <c r="G91" s="2" t="s">
        <v>145</v>
      </c>
      <c r="H91">
        <v>70805</v>
      </c>
      <c r="I91">
        <v>2</v>
      </c>
      <c r="J91">
        <f>IF(H91=0,0,(H91-$J$56)/$I$56)*I91</f>
        <v>1541.9948964740354</v>
      </c>
      <c r="K91">
        <f t="shared" si="152"/>
        <v>2.8064307115827445</v>
      </c>
      <c r="L91">
        <f t="shared" si="153"/>
        <v>0.83267724409597921</v>
      </c>
    </row>
    <row r="92" spans="1:12" x14ac:dyDescent="0.25">
      <c r="A92" s="2" t="s">
        <v>146</v>
      </c>
      <c r="B92">
        <v>799</v>
      </c>
      <c r="C92">
        <v>2</v>
      </c>
      <c r="D92">
        <f>IF(B92=0,0,(B92-$J$57)/$I$57)*C92</f>
        <v>25.544573479761329</v>
      </c>
      <c r="E92">
        <f t="shared" ref="E92:E93" si="154">2.04*D92/1000</f>
        <v>5.2110929898713111E-2</v>
      </c>
      <c r="F92">
        <f t="shared" ref="F92:F93" si="155">D92*0.59/1000</f>
        <v>1.5071298353059185E-2</v>
      </c>
      <c r="G92" s="2" t="s">
        <v>146</v>
      </c>
      <c r="H92">
        <v>711</v>
      </c>
      <c r="I92">
        <v>2</v>
      </c>
      <c r="J92">
        <f>IF(H92=0,0,(H92-$J$57)/$I$57)*I92</f>
        <v>23.796561737197944</v>
      </c>
      <c r="K92">
        <f t="shared" ref="K92:K93" si="156">2.04*J92/1000</f>
        <v>4.854498594388381E-2</v>
      </c>
      <c r="L92">
        <f t="shared" ref="L92:L93" si="157">J92*0.59/1000</f>
        <v>1.4039971424946786E-2</v>
      </c>
    </row>
    <row r="93" spans="1:12" x14ac:dyDescent="0.25">
      <c r="A93" s="2" t="s">
        <v>147</v>
      </c>
      <c r="B93">
        <v>3636</v>
      </c>
      <c r="C93">
        <v>2</v>
      </c>
      <c r="D93">
        <f>IF(B93=0,0,(B93-$J$58)/$I$58)*C93</f>
        <v>76.285043082012976</v>
      </c>
      <c r="E93">
        <f t="shared" si="154"/>
        <v>0.15562148788730648</v>
      </c>
      <c r="F93">
        <f t="shared" si="155"/>
        <v>4.5008175418387648E-2</v>
      </c>
      <c r="G93" s="2" t="s">
        <v>147</v>
      </c>
      <c r="H93">
        <v>3678</v>
      </c>
      <c r="I93">
        <v>2</v>
      </c>
      <c r="J93">
        <f>IF(H93=0,0,(H93-$J$58)/$I$58)*I93</f>
        <v>77.085249867094845</v>
      </c>
      <c r="K93">
        <f t="shared" si="156"/>
        <v>0.15725390972887349</v>
      </c>
      <c r="L93">
        <f t="shared" si="157"/>
        <v>4.5480297421585957E-2</v>
      </c>
    </row>
    <row r="94" spans="1:12" x14ac:dyDescent="0.25">
      <c r="A94" s="2" t="s">
        <v>148</v>
      </c>
      <c r="B94">
        <v>2269</v>
      </c>
      <c r="C94">
        <v>2</v>
      </c>
      <c r="D94">
        <f>IF(B94=0,0,(B94-$J$59)/$I$59)*C94</f>
        <v>48.73199326714753</v>
      </c>
      <c r="E94">
        <f t="shared" ref="E94" si="158">2.21*D94/1000</f>
        <v>0.10769770512039603</v>
      </c>
      <c r="F94">
        <f t="shared" ref="F94" si="159">D94*0.62/1000</f>
        <v>3.0213835825631467E-2</v>
      </c>
      <c r="G94" s="2" t="s">
        <v>148</v>
      </c>
      <c r="H94">
        <v>2140</v>
      </c>
      <c r="I94">
        <v>2</v>
      </c>
      <c r="J94">
        <f>IF(H94=0,0,(H94-$J$59)/$I$59)*I94</f>
        <v>46.399085114986505</v>
      </c>
      <c r="K94">
        <f t="shared" ref="K94" si="160">2.21*J94/1000</f>
        <v>0.10254197810412018</v>
      </c>
      <c r="L94">
        <f t="shared" ref="L94" si="161">J94*0.62/1000</f>
        <v>2.8767432771291634E-2</v>
      </c>
    </row>
    <row r="95" spans="1:12" x14ac:dyDescent="0.25">
      <c r="A95" s="2" t="s">
        <v>149</v>
      </c>
      <c r="B95">
        <v>0</v>
      </c>
      <c r="C95">
        <v>2</v>
      </c>
      <c r="D95">
        <f>IF(B95=0,0,(B95-$J$60)/$I$60)*C95</f>
        <v>0</v>
      </c>
      <c r="E95">
        <f t="shared" ref="E95" si="162">2.34*D95/1000</f>
        <v>0</v>
      </c>
      <c r="F95">
        <f t="shared" ref="F95" si="163">D95*0.65/1000</f>
        <v>0</v>
      </c>
      <c r="G95" s="2" t="s">
        <v>149</v>
      </c>
      <c r="H95">
        <v>0</v>
      </c>
      <c r="I95">
        <v>2</v>
      </c>
      <c r="J95">
        <f>IF(H95=0,0,(H95-$J$60)/$I$60)*I95</f>
        <v>0</v>
      </c>
      <c r="K95">
        <f t="shared" ref="K95" si="164">2.34*J95/1000</f>
        <v>0</v>
      </c>
      <c r="L95">
        <f t="shared" ref="L95" si="165">J95*0.65/1000</f>
        <v>0</v>
      </c>
    </row>
    <row r="96" spans="1:12" x14ac:dyDescent="0.25">
      <c r="B96" s="2" t="s">
        <v>171</v>
      </c>
      <c r="C96" s="2"/>
      <c r="D96" s="2">
        <f t="shared" ref="D96:F96" si="166">SUM(D88:D95)</f>
        <v>3967.9849813302476</v>
      </c>
      <c r="E96" s="2">
        <f t="shared" si="166"/>
        <v>5.905644556658733</v>
      </c>
      <c r="F96" s="2">
        <f t="shared" si="166"/>
        <v>1.9024097183353692</v>
      </c>
      <c r="H96" s="2" t="s">
        <v>171</v>
      </c>
      <c r="I96" s="2"/>
      <c r="J96" s="2">
        <f t="shared" ref="J96:L96" si="167">SUM(J88:J95)</f>
        <v>3743.068292385005</v>
      </c>
      <c r="K96" s="2">
        <f t="shared" si="167"/>
        <v>5.528846583301255</v>
      </c>
      <c r="L96" s="2">
        <f t="shared" si="167"/>
        <v>1.7864427443324538</v>
      </c>
    </row>
    <row r="98" spans="1:12" x14ac:dyDescent="0.25">
      <c r="A98" s="2"/>
      <c r="B98" s="2"/>
      <c r="C98" s="2"/>
      <c r="G98" s="2"/>
      <c r="H98" s="2"/>
      <c r="I98" s="2"/>
      <c r="L98" s="2"/>
    </row>
    <row r="99" spans="1:12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 x14ac:dyDescent="0.25">
      <c r="A100" s="2"/>
      <c r="G100" s="2"/>
    </row>
    <row r="101" spans="1:12" x14ac:dyDescent="0.25">
      <c r="A101" s="2"/>
      <c r="G101" s="2"/>
    </row>
    <row r="102" spans="1:12" x14ac:dyDescent="0.25">
      <c r="A102" s="2"/>
      <c r="G102" s="2"/>
    </row>
    <row r="103" spans="1:12" x14ac:dyDescent="0.25">
      <c r="A103" s="2"/>
      <c r="G103" s="2"/>
    </row>
    <row r="104" spans="1:12" x14ac:dyDescent="0.25">
      <c r="A104" s="2"/>
      <c r="G104" s="2"/>
    </row>
    <row r="105" spans="1:12" x14ac:dyDescent="0.25">
      <c r="A105" s="2"/>
      <c r="G105" s="2"/>
    </row>
    <row r="106" spans="1:12" x14ac:dyDescent="0.25">
      <c r="A106" s="2"/>
      <c r="G106" s="2"/>
    </row>
    <row r="107" spans="1:12" x14ac:dyDescent="0.25">
      <c r="A107" s="2"/>
      <c r="G107" s="2"/>
    </row>
    <row r="108" spans="1:12" x14ac:dyDescent="0.25">
      <c r="B108" s="2"/>
      <c r="C108" s="2"/>
      <c r="D108" s="2"/>
      <c r="E108" s="2"/>
      <c r="F108" s="2"/>
      <c r="H108" s="2"/>
      <c r="I108" s="2"/>
      <c r="J108" s="2"/>
      <c r="K108" s="2"/>
      <c r="L108" s="2"/>
    </row>
    <row r="110" spans="1:12" x14ac:dyDescent="0.25">
      <c r="A110" s="2"/>
      <c r="B110" s="2"/>
      <c r="C110" s="2"/>
      <c r="G110" s="2"/>
      <c r="H110" s="2"/>
      <c r="I110" s="2"/>
      <c r="L110" s="2"/>
    </row>
    <row r="111" spans="1:12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 x14ac:dyDescent="0.25">
      <c r="A112" s="2"/>
      <c r="G112" s="2"/>
    </row>
    <row r="113" spans="1:12" x14ac:dyDescent="0.25">
      <c r="A113" s="2"/>
      <c r="G113" s="2"/>
    </row>
    <row r="114" spans="1:12" x14ac:dyDescent="0.25">
      <c r="A114" s="2"/>
      <c r="G114" s="2"/>
    </row>
    <row r="115" spans="1:12" x14ac:dyDescent="0.25">
      <c r="A115" s="2"/>
      <c r="G115" s="2"/>
    </row>
    <row r="116" spans="1:12" x14ac:dyDescent="0.25">
      <c r="A116" s="2"/>
      <c r="G116" s="2"/>
    </row>
    <row r="117" spans="1:12" x14ac:dyDescent="0.25">
      <c r="A117" s="2"/>
      <c r="G117" s="2"/>
    </row>
    <row r="118" spans="1:12" x14ac:dyDescent="0.25">
      <c r="A118" s="2"/>
      <c r="G118" s="2"/>
    </row>
    <row r="119" spans="1:12" x14ac:dyDescent="0.25">
      <c r="A119" s="2"/>
      <c r="G119" s="2"/>
    </row>
    <row r="120" spans="1:12" x14ac:dyDescent="0.25">
      <c r="B120" s="2"/>
      <c r="C120" s="2"/>
      <c r="D120" s="2"/>
      <c r="E120" s="2"/>
      <c r="F120" s="2"/>
      <c r="H120" s="2"/>
      <c r="I120" s="2"/>
      <c r="J120" s="2"/>
      <c r="K120" s="2"/>
      <c r="L120" s="2"/>
    </row>
    <row r="122" spans="1:12" x14ac:dyDescent="0.25">
      <c r="A122" s="2"/>
      <c r="B122" s="2"/>
      <c r="C122" s="2"/>
      <c r="G122" s="2"/>
      <c r="H122" s="2"/>
      <c r="I122" s="2"/>
      <c r="L122" s="2"/>
    </row>
    <row r="123" spans="1:12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1:12" x14ac:dyDescent="0.25">
      <c r="A124" s="2"/>
      <c r="G124" s="2"/>
    </row>
    <row r="125" spans="1:12" x14ac:dyDescent="0.25">
      <c r="A125" s="2"/>
      <c r="G125" s="2"/>
    </row>
  </sheetData>
  <pageMargins left="0.7" right="0.7" top="0.75" bottom="0.75" header="0.3" footer="0.3"/>
  <pageSetup paperSize="9" orientation="portrait" verticalDpi="0" r:id="rId1"/>
  <headerFooter>
    <oddHeader>&amp;R&amp;"Calibri"&amp;10&amp;K000000 PUBLIC / CYHOEDDUS&amp;1#_x000D_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CEB32-C112-4B8F-8603-A062CAC33C72}">
  <dimension ref="A2:U125"/>
  <sheetViews>
    <sheetView topLeftCell="A85" zoomScaleNormal="100" workbookViewId="0">
      <selection activeCell="F107" sqref="F107"/>
    </sheetView>
  </sheetViews>
  <sheetFormatPr defaultRowHeight="15" x14ac:dyDescent="0.25"/>
  <cols>
    <col min="1" max="1" width="10.7109375" customWidth="1"/>
    <col min="4" max="4" width="10.42578125" customWidth="1"/>
    <col min="8" max="8" width="11" customWidth="1"/>
    <col min="12" max="12" width="10.7109375" customWidth="1"/>
  </cols>
  <sheetData>
    <row r="2" spans="1:21" x14ac:dyDescent="0.25">
      <c r="A2" s="2" t="s">
        <v>156</v>
      </c>
    </row>
    <row r="3" spans="1:21" x14ac:dyDescent="0.25">
      <c r="B3" s="2"/>
      <c r="C3" s="2" t="s">
        <v>157</v>
      </c>
      <c r="D3" s="2" t="s">
        <v>158</v>
      </c>
      <c r="E3" s="2" t="s">
        <v>159</v>
      </c>
      <c r="F3" s="2" t="s">
        <v>157</v>
      </c>
      <c r="G3" s="2" t="s">
        <v>158</v>
      </c>
      <c r="H3" s="2" t="s">
        <v>159</v>
      </c>
      <c r="I3" s="2"/>
      <c r="J3" s="2"/>
    </row>
    <row r="4" spans="1:21" x14ac:dyDescent="0.25">
      <c r="A4" s="2" t="s">
        <v>160</v>
      </c>
      <c r="B4" s="2" t="s">
        <v>161</v>
      </c>
      <c r="C4" s="2" t="s">
        <v>162</v>
      </c>
      <c r="D4" s="2" t="s">
        <v>162</v>
      </c>
      <c r="E4" s="2" t="s">
        <v>162</v>
      </c>
      <c r="F4" s="2" t="s">
        <v>163</v>
      </c>
      <c r="G4" s="2" t="s">
        <v>163</v>
      </c>
      <c r="H4" s="2" t="s">
        <v>163</v>
      </c>
      <c r="I4" s="2" t="s">
        <v>94</v>
      </c>
      <c r="J4" s="2" t="s">
        <v>95</v>
      </c>
      <c r="K4" s="2" t="s">
        <v>164</v>
      </c>
    </row>
    <row r="5" spans="1:21" ht="15.75" x14ac:dyDescent="0.25">
      <c r="A5" s="2" t="s">
        <v>142</v>
      </c>
      <c r="B5" s="44">
        <v>5.7430000000000003</v>
      </c>
      <c r="C5" s="44">
        <v>1931</v>
      </c>
      <c r="D5" s="44">
        <v>9755</v>
      </c>
      <c r="E5" s="44">
        <v>20261</v>
      </c>
      <c r="F5" s="45">
        <v>53</v>
      </c>
      <c r="G5" s="45">
        <v>263</v>
      </c>
      <c r="H5" s="45">
        <v>525</v>
      </c>
      <c r="I5">
        <f t="shared" ref="I5:I12" si="0">LINEST(C5:E5, F5:H5)</f>
        <v>38.886089983548331</v>
      </c>
      <c r="J5">
        <f t="shared" ref="J5:J12" si="1">INTERCEPT(C5:E5, F5:H5)</f>
        <v>-252.06722538804388</v>
      </c>
      <c r="K5">
        <f t="shared" ref="K5:K12" si="2">RSQ(C5:E5,F5:H5)</f>
        <v>0.99956926908649746</v>
      </c>
    </row>
    <row r="6" spans="1:21" ht="15.75" x14ac:dyDescent="0.25">
      <c r="A6" s="2" t="s">
        <v>143</v>
      </c>
      <c r="B6" s="44">
        <v>6.7110000000000003</v>
      </c>
      <c r="C6" s="44">
        <v>2905</v>
      </c>
      <c r="D6" s="44">
        <v>15020</v>
      </c>
      <c r="E6" s="44">
        <v>30971</v>
      </c>
      <c r="F6" s="45">
        <v>49</v>
      </c>
      <c r="G6" s="45">
        <v>247</v>
      </c>
      <c r="H6" s="45">
        <v>495</v>
      </c>
      <c r="I6">
        <f t="shared" si="0"/>
        <v>62.985788855365385</v>
      </c>
      <c r="J6">
        <f t="shared" si="1"/>
        <v>-308.58632819800732</v>
      </c>
      <c r="K6">
        <f t="shared" si="2"/>
        <v>0.99980084792723145</v>
      </c>
    </row>
    <row r="7" spans="1:21" ht="15.75" x14ac:dyDescent="0.25">
      <c r="A7" s="2" t="s">
        <v>144</v>
      </c>
      <c r="B7" s="44">
        <v>7.0490000000000004</v>
      </c>
      <c r="C7" s="44">
        <v>3193</v>
      </c>
      <c r="D7" s="44">
        <v>17571</v>
      </c>
      <c r="E7" s="44">
        <v>34430</v>
      </c>
      <c r="F7" s="45">
        <v>47</v>
      </c>
      <c r="G7" s="45">
        <v>235</v>
      </c>
      <c r="H7" s="45">
        <v>469</v>
      </c>
      <c r="I7">
        <f t="shared" si="0"/>
        <v>73.942084538973262</v>
      </c>
      <c r="J7">
        <f t="shared" si="1"/>
        <v>-112.16849625630493</v>
      </c>
      <c r="K7">
        <f t="shared" si="2"/>
        <v>0.99971010731130161</v>
      </c>
    </row>
    <row r="8" spans="1:21" ht="15.75" x14ac:dyDescent="0.25">
      <c r="A8" s="2" t="s">
        <v>145</v>
      </c>
      <c r="B8" s="44">
        <v>7.766</v>
      </c>
      <c r="C8" s="44">
        <v>3377</v>
      </c>
      <c r="D8" s="44">
        <v>18397</v>
      </c>
      <c r="E8" s="44">
        <v>38233</v>
      </c>
      <c r="F8" s="45">
        <v>45</v>
      </c>
      <c r="G8" s="45">
        <v>227</v>
      </c>
      <c r="H8" s="45">
        <v>453</v>
      </c>
      <c r="I8">
        <f t="shared" si="0"/>
        <v>85.524143873871012</v>
      </c>
      <c r="J8">
        <f t="shared" si="1"/>
        <v>-666.00143618549555</v>
      </c>
      <c r="K8">
        <f t="shared" si="2"/>
        <v>0.99969657282216584</v>
      </c>
    </row>
    <row r="9" spans="1:21" ht="15.75" x14ac:dyDescent="0.25">
      <c r="A9" s="2" t="s">
        <v>146</v>
      </c>
      <c r="B9" s="44">
        <v>8.2319999999999993</v>
      </c>
      <c r="C9" s="44">
        <v>3630</v>
      </c>
      <c r="D9" s="44">
        <v>19841</v>
      </c>
      <c r="E9" s="44">
        <v>40325</v>
      </c>
      <c r="F9" s="45">
        <v>46</v>
      </c>
      <c r="G9" s="45">
        <v>228</v>
      </c>
      <c r="H9" s="45">
        <v>455</v>
      </c>
      <c r="I9">
        <f t="shared" si="0"/>
        <v>89.739872347519594</v>
      </c>
      <c r="J9">
        <f t="shared" si="1"/>
        <v>-541.45564711392944</v>
      </c>
      <c r="K9">
        <f t="shared" si="2"/>
        <v>0.99998636978354261</v>
      </c>
    </row>
    <row r="10" spans="1:21" ht="15.75" x14ac:dyDescent="0.25">
      <c r="A10" s="2" t="s">
        <v>147</v>
      </c>
      <c r="B10" s="44">
        <v>9.0060000000000002</v>
      </c>
      <c r="C10" s="44">
        <v>3801</v>
      </c>
      <c r="D10" s="44">
        <v>20455</v>
      </c>
      <c r="E10" s="44">
        <v>41988</v>
      </c>
      <c r="F10" s="45">
        <v>44</v>
      </c>
      <c r="G10" s="45">
        <v>221</v>
      </c>
      <c r="H10" s="45">
        <v>443</v>
      </c>
      <c r="I10">
        <f t="shared" si="0"/>
        <v>95.76045185018387</v>
      </c>
      <c r="J10">
        <f t="shared" si="1"/>
        <v>-518.13330331006728</v>
      </c>
      <c r="K10">
        <f t="shared" si="2"/>
        <v>0.99992587882714479</v>
      </c>
    </row>
    <row r="11" spans="1:21" ht="15.75" x14ac:dyDescent="0.25">
      <c r="A11" s="2" t="s">
        <v>148</v>
      </c>
      <c r="B11" s="44">
        <v>10.173</v>
      </c>
      <c r="C11" s="44">
        <v>4055</v>
      </c>
      <c r="D11" s="44">
        <v>21269</v>
      </c>
      <c r="E11" s="44">
        <v>43544</v>
      </c>
      <c r="F11" s="45">
        <v>44</v>
      </c>
      <c r="G11" s="45">
        <v>222</v>
      </c>
      <c r="H11" s="45">
        <v>444</v>
      </c>
      <c r="I11">
        <f t="shared" si="0"/>
        <v>98.787980146741504</v>
      </c>
      <c r="J11">
        <f t="shared" si="1"/>
        <v>-423.82196806215143</v>
      </c>
      <c r="K11">
        <f t="shared" si="2"/>
        <v>0.9998910820005702</v>
      </c>
    </row>
    <row r="12" spans="1:21" ht="15.75" x14ac:dyDescent="0.25">
      <c r="A12" s="2" t="s">
        <v>149</v>
      </c>
      <c r="B12" s="44">
        <v>11.288</v>
      </c>
      <c r="C12" s="44">
        <v>4638</v>
      </c>
      <c r="D12" s="44">
        <v>23119</v>
      </c>
      <c r="E12" s="44">
        <v>46295</v>
      </c>
      <c r="F12" s="45">
        <v>47</v>
      </c>
      <c r="G12" s="45">
        <v>234</v>
      </c>
      <c r="H12" s="45">
        <v>467</v>
      </c>
      <c r="I12">
        <f t="shared" si="0"/>
        <v>99.194810621174582</v>
      </c>
      <c r="J12">
        <f t="shared" si="1"/>
        <v>-48.572781546205078</v>
      </c>
      <c r="K12">
        <f t="shared" si="2"/>
        <v>0.99999665186192399</v>
      </c>
    </row>
    <row r="14" spans="1:21" x14ac:dyDescent="0.25">
      <c r="A14" s="2" t="s">
        <v>165</v>
      </c>
      <c r="B14" s="2" t="s">
        <v>57</v>
      </c>
      <c r="C14" s="2"/>
      <c r="G14" s="2" t="s">
        <v>165</v>
      </c>
      <c r="H14" s="2" t="s">
        <v>58</v>
      </c>
      <c r="I14" s="2"/>
      <c r="L14" s="2"/>
      <c r="M14" s="2"/>
      <c r="N14" s="2"/>
      <c r="Q14" s="2"/>
      <c r="R14" s="2"/>
    </row>
    <row r="15" spans="1:21" x14ac:dyDescent="0.25">
      <c r="A15" s="2" t="s">
        <v>160</v>
      </c>
      <c r="B15" s="2" t="s">
        <v>166</v>
      </c>
      <c r="C15" s="2" t="s">
        <v>167</v>
      </c>
      <c r="D15" s="2" t="s">
        <v>168</v>
      </c>
      <c r="E15" s="2" t="s">
        <v>169</v>
      </c>
      <c r="F15" s="2" t="s">
        <v>170</v>
      </c>
      <c r="G15" s="2" t="s">
        <v>160</v>
      </c>
      <c r="H15" s="2" t="s">
        <v>166</v>
      </c>
      <c r="I15" s="2" t="s">
        <v>167</v>
      </c>
      <c r="J15" s="2" t="s">
        <v>168</v>
      </c>
      <c r="K15" s="2" t="s">
        <v>169</v>
      </c>
      <c r="L15" s="2" t="s">
        <v>170</v>
      </c>
      <c r="M15" s="2"/>
      <c r="N15" s="2"/>
      <c r="O15" s="2"/>
      <c r="P15" s="2"/>
      <c r="Q15" s="2"/>
      <c r="R15" s="2"/>
      <c r="S15" s="2"/>
      <c r="T15" s="2"/>
      <c r="U15" s="2"/>
    </row>
    <row r="16" spans="1:21" x14ac:dyDescent="0.25">
      <c r="A16" s="2" t="s">
        <v>142</v>
      </c>
      <c r="B16">
        <v>9767</v>
      </c>
      <c r="C16">
        <v>10</v>
      </c>
      <c r="D16">
        <f>IF(B16=0,0,(B16-$J$5)/$I$5)*C16</f>
        <v>2576.5170089424892</v>
      </c>
      <c r="E16">
        <f>1.07*D16/1000</f>
        <v>2.7568731995684632</v>
      </c>
      <c r="F16">
        <f>D16*0.4/1000</f>
        <v>1.0306068035769955</v>
      </c>
      <c r="G16" s="2" t="s">
        <v>142</v>
      </c>
      <c r="H16">
        <v>10052</v>
      </c>
      <c r="I16">
        <v>10</v>
      </c>
      <c r="J16">
        <f>IF(H16=0,0,(H16-$J$5)/$I$5)*I16</f>
        <v>2649.807998116401</v>
      </c>
      <c r="K16">
        <f>1.07*J16/1000</f>
        <v>2.835294557984549</v>
      </c>
      <c r="L16">
        <f>J16*0.4/1000</f>
        <v>1.0599231992465605</v>
      </c>
      <c r="Q16" s="2"/>
    </row>
    <row r="17" spans="1:21" x14ac:dyDescent="0.25">
      <c r="A17" s="2" t="s">
        <v>143</v>
      </c>
      <c r="B17">
        <v>2220</v>
      </c>
      <c r="C17">
        <v>10</v>
      </c>
      <c r="D17">
        <f>IF(B17=0,0,(B17-$J$6)/$I$6)*C17</f>
        <v>401.45346659139477</v>
      </c>
      <c r="E17">
        <f>1.51*D17/1000</f>
        <v>0.6061947345530061</v>
      </c>
      <c r="F17">
        <f>D17*0.49/1000</f>
        <v>0.19671219862978345</v>
      </c>
      <c r="G17" s="2" t="s">
        <v>143</v>
      </c>
      <c r="H17">
        <v>2355</v>
      </c>
      <c r="I17">
        <v>10</v>
      </c>
      <c r="J17">
        <f>IF(H17=0,0,(H17-$J$6)/$I$6)*I17</f>
        <v>422.88687283323787</v>
      </c>
      <c r="K17">
        <f>1.51*J17/1000</f>
        <v>0.63855917797818917</v>
      </c>
      <c r="L17">
        <f>J17*0.49/1000</f>
        <v>0.20721456768828656</v>
      </c>
      <c r="Q17" s="2"/>
    </row>
    <row r="18" spans="1:21" x14ac:dyDescent="0.25">
      <c r="A18" s="2" t="s">
        <v>144</v>
      </c>
      <c r="B18">
        <v>1078</v>
      </c>
      <c r="C18">
        <v>10</v>
      </c>
      <c r="D18">
        <f>IF(B18=0,0,(B18-$J$7)/$I$7)*C18</f>
        <v>160.95955418040629</v>
      </c>
      <c r="E18">
        <f>1.82*D18/1000</f>
        <v>0.29294638860833949</v>
      </c>
      <c r="F18">
        <f>D18*0.54/1000</f>
        <v>8.69181592574194E-2</v>
      </c>
      <c r="G18" s="2" t="s">
        <v>144</v>
      </c>
      <c r="H18">
        <v>1068</v>
      </c>
      <c r="I18">
        <v>10</v>
      </c>
      <c r="J18">
        <f>IF(H18=0,0,(H18-$J$7)/$I$7)*I18</f>
        <v>159.6071443772002</v>
      </c>
      <c r="K18">
        <f>1.82*J18/1000</f>
        <v>0.29048500276650435</v>
      </c>
      <c r="L18">
        <f>J18*0.54/1000</f>
        <v>8.6187857963688122E-2</v>
      </c>
      <c r="Q18" s="2"/>
    </row>
    <row r="19" spans="1:21" x14ac:dyDescent="0.25">
      <c r="A19" s="2" t="s">
        <v>145</v>
      </c>
      <c r="B19">
        <v>1285</v>
      </c>
      <c r="C19">
        <v>10</v>
      </c>
      <c r="D19">
        <f>IF(B19=0,0,(B19-$J$8)/$I$8)*C19</f>
        <v>228.12288411361197</v>
      </c>
      <c r="E19">
        <f>1.82*D19/1000</f>
        <v>0.4151836490867738</v>
      </c>
      <c r="F19">
        <f>D19*0.54/1000</f>
        <v>0.12318635742135048</v>
      </c>
      <c r="G19" s="2" t="s">
        <v>145</v>
      </c>
      <c r="H19">
        <v>1372</v>
      </c>
      <c r="I19">
        <v>10</v>
      </c>
      <c r="J19">
        <f>IF(H19=0,0,(H19-$J$8)/$I$8)*I19</f>
        <v>238.29545013523807</v>
      </c>
      <c r="K19">
        <f>1.82*J19/1000</f>
        <v>0.43369771924613332</v>
      </c>
      <c r="L19">
        <f>J19*0.54/1000</f>
        <v>0.12867954307302856</v>
      </c>
      <c r="Q19" s="2"/>
    </row>
    <row r="20" spans="1:21" x14ac:dyDescent="0.25">
      <c r="A20" s="2" t="s">
        <v>146</v>
      </c>
      <c r="B20">
        <v>2040</v>
      </c>
      <c r="C20">
        <v>10</v>
      </c>
      <c r="D20">
        <f>IF(B20=0,0,(B20-$J$9)/$I$9)*C20</f>
        <v>287.6598305285288</v>
      </c>
      <c r="E20">
        <f>2.04*D20/1000</f>
        <v>0.58682605427819878</v>
      </c>
      <c r="F20">
        <f>D20*0.59/1000</f>
        <v>0.169719300011832</v>
      </c>
      <c r="G20" s="2" t="s">
        <v>146</v>
      </c>
      <c r="H20">
        <v>1995</v>
      </c>
      <c r="I20">
        <v>10</v>
      </c>
      <c r="J20">
        <f>IF(H20=0,0,(H20-$J$9)/$I$9)*I20</f>
        <v>282.6453371018236</v>
      </c>
      <c r="K20">
        <f>2.04*J20/1000</f>
        <v>0.57659648768772009</v>
      </c>
      <c r="L20">
        <f>J20*0.59/1000</f>
        <v>0.16676074889007592</v>
      </c>
      <c r="Q20" s="2"/>
    </row>
    <row r="21" spans="1:21" x14ac:dyDescent="0.25">
      <c r="A21" s="2" t="s">
        <v>147</v>
      </c>
      <c r="B21">
        <v>0</v>
      </c>
      <c r="C21">
        <v>10</v>
      </c>
      <c r="D21">
        <f>IF(B21=0,0,(B21-$J$10)/$I$10)*C21</f>
        <v>0</v>
      </c>
      <c r="E21">
        <f>2.04*D21/1000</f>
        <v>0</v>
      </c>
      <c r="F21">
        <f>D21*0.59/1000</f>
        <v>0</v>
      </c>
      <c r="G21" s="2" t="s">
        <v>147</v>
      </c>
      <c r="H21">
        <v>0</v>
      </c>
      <c r="I21">
        <v>10</v>
      </c>
      <c r="J21">
        <f>IF(H21=0,0,(H21-$J$10)/$I$10)*I21</f>
        <v>0</v>
      </c>
      <c r="K21">
        <f>2.04*J21/1000</f>
        <v>0</v>
      </c>
      <c r="L21">
        <f>J21*0.59/1000</f>
        <v>0</v>
      </c>
      <c r="Q21" s="2"/>
    </row>
    <row r="22" spans="1:21" x14ac:dyDescent="0.25">
      <c r="A22" s="2" t="s">
        <v>148</v>
      </c>
      <c r="B22">
        <v>719</v>
      </c>
      <c r="C22">
        <v>10</v>
      </c>
      <c r="D22">
        <f>IF(B22=0,0,(B22-$J$11)/$I$11)*1</f>
        <v>11.568431365481736</v>
      </c>
      <c r="E22">
        <f>2.21*D22/1000</f>
        <v>2.5566233317714637E-2</v>
      </c>
      <c r="F22">
        <f>D22*0.62/1000</f>
        <v>7.1724274465986759E-3</v>
      </c>
      <c r="G22" s="2" t="s">
        <v>148</v>
      </c>
      <c r="H22">
        <v>781</v>
      </c>
      <c r="I22">
        <v>10</v>
      </c>
      <c r="J22">
        <f>IF(H22=0,0,(H22-$J$11)/$I$11)*1</f>
        <v>12.196038083504556</v>
      </c>
      <c r="K22">
        <f>2.21*J22/1000</f>
        <v>2.695324416454507E-2</v>
      </c>
      <c r="L22">
        <f>J22*0.62/1000</f>
        <v>7.5615436117728247E-3</v>
      </c>
      <c r="Q22" s="2"/>
    </row>
    <row r="23" spans="1:21" x14ac:dyDescent="0.25">
      <c r="A23" s="2" t="s">
        <v>149</v>
      </c>
      <c r="B23">
        <v>319</v>
      </c>
      <c r="C23">
        <v>10</v>
      </c>
      <c r="D23">
        <f>IF(B23=0,0,(B23-$J$12)/$I$12)*1</f>
        <v>3.7055646282744279</v>
      </c>
      <c r="E23">
        <f>2.34*D23/1000</f>
        <v>8.6710212301621611E-3</v>
      </c>
      <c r="F23">
        <f>D23*0.65/1000</f>
        <v>2.4086170083783779E-3</v>
      </c>
      <c r="G23" s="2" t="s">
        <v>149</v>
      </c>
      <c r="H23">
        <v>136</v>
      </c>
      <c r="I23">
        <v>10</v>
      </c>
      <c r="J23">
        <f>IF(H23=0,0,(H23-$J$12)/$I$12)*1</f>
        <v>1.8607100551972355</v>
      </c>
      <c r="K23">
        <f>2.34*J23/1000</f>
        <v>4.3540615291615316E-3</v>
      </c>
      <c r="L23">
        <f>J23*0.65/1000</f>
        <v>1.2094615358782031E-3</v>
      </c>
      <c r="Q23" s="2"/>
    </row>
    <row r="24" spans="1:21" x14ac:dyDescent="0.25">
      <c r="B24" s="2" t="s">
        <v>171</v>
      </c>
      <c r="C24" s="2"/>
      <c r="D24" s="2">
        <f>SUM(D16:D23)</f>
        <v>3669.9867403501876</v>
      </c>
      <c r="E24" s="2">
        <f>SUM(E16:E23)</f>
        <v>4.6922612806426587</v>
      </c>
      <c r="F24" s="2">
        <f>SUM(F16:F23)</f>
        <v>1.616723863352358</v>
      </c>
      <c r="H24" s="2" t="s">
        <v>171</v>
      </c>
      <c r="I24" s="2"/>
      <c r="J24" s="2">
        <f>SUM(J16:J23)</f>
        <v>3767.2995507026021</v>
      </c>
      <c r="K24" s="2">
        <f>SUM(K16:K23)</f>
        <v>4.8059402513568017</v>
      </c>
      <c r="L24" s="2">
        <f>SUM(L16:L23)</f>
        <v>1.6575369220092908</v>
      </c>
      <c r="M24" s="2"/>
      <c r="N24" s="2"/>
      <c r="O24" s="2"/>
      <c r="P24" s="2"/>
      <c r="R24" s="2"/>
      <c r="S24" s="2"/>
      <c r="T24" s="2"/>
      <c r="U24" s="2"/>
    </row>
    <row r="26" spans="1:21" x14ac:dyDescent="0.25">
      <c r="A26" s="2" t="s">
        <v>165</v>
      </c>
      <c r="B26" s="2" t="s">
        <v>60</v>
      </c>
      <c r="C26" s="2"/>
      <c r="G26" s="2" t="s">
        <v>165</v>
      </c>
      <c r="H26" s="2" t="s">
        <v>61</v>
      </c>
      <c r="I26" s="2"/>
      <c r="L26" s="2"/>
      <c r="M26" s="2"/>
      <c r="N26" s="2"/>
      <c r="Q26" s="2"/>
      <c r="R26" s="2"/>
      <c r="S26" s="2"/>
    </row>
    <row r="27" spans="1:21" x14ac:dyDescent="0.25">
      <c r="A27" s="2" t="s">
        <v>160</v>
      </c>
      <c r="B27" s="2" t="s">
        <v>166</v>
      </c>
      <c r="C27" s="2" t="s">
        <v>167</v>
      </c>
      <c r="D27" s="2" t="s">
        <v>168</v>
      </c>
      <c r="E27" s="2" t="s">
        <v>169</v>
      </c>
      <c r="F27" s="2" t="s">
        <v>170</v>
      </c>
      <c r="G27" s="2" t="s">
        <v>160</v>
      </c>
      <c r="H27" s="2" t="s">
        <v>166</v>
      </c>
      <c r="I27" s="2" t="s">
        <v>167</v>
      </c>
      <c r="J27" s="2" t="s">
        <v>168</v>
      </c>
      <c r="K27" s="2" t="s">
        <v>169</v>
      </c>
      <c r="L27" s="2" t="s">
        <v>170</v>
      </c>
      <c r="M27" s="2"/>
      <c r="N27" s="2"/>
      <c r="O27" s="2"/>
      <c r="P27" s="2"/>
      <c r="Q27" s="2"/>
      <c r="R27" s="2"/>
      <c r="S27" s="2"/>
      <c r="T27" s="2"/>
      <c r="U27" s="2"/>
    </row>
    <row r="28" spans="1:21" x14ac:dyDescent="0.25">
      <c r="A28" s="2" t="s">
        <v>142</v>
      </c>
      <c r="B28">
        <v>14518</v>
      </c>
      <c r="C28">
        <v>10</v>
      </c>
      <c r="D28">
        <f t="shared" ref="D28" si="3">IF(B28=0,0,(B28-$J$5)/$I$5)*C28</f>
        <v>3798.2906565398748</v>
      </c>
      <c r="E28">
        <f t="shared" ref="E28" si="4">1.07*D28/1000</f>
        <v>4.0641710024976661</v>
      </c>
      <c r="F28">
        <f t="shared" ref="F28" si="5">D28*0.4/1000</f>
        <v>1.5193162626159502</v>
      </c>
      <c r="G28" s="2" t="s">
        <v>142</v>
      </c>
      <c r="H28">
        <v>15401</v>
      </c>
      <c r="I28">
        <v>10</v>
      </c>
      <c r="J28">
        <f t="shared" ref="J28" si="6">IF(H28=0,0,(H28-$J$5)/$I$5)*I28</f>
        <v>4025.3641422962401</v>
      </c>
      <c r="K28">
        <f t="shared" ref="K28" si="7">1.07*J28/1000</f>
        <v>4.3071396322569768</v>
      </c>
      <c r="L28">
        <f t="shared" ref="L28" si="8">J28*0.4/1000</f>
        <v>1.6101456569184962</v>
      </c>
      <c r="Q28" s="2"/>
    </row>
    <row r="29" spans="1:21" x14ac:dyDescent="0.25">
      <c r="A29" s="2" t="s">
        <v>143</v>
      </c>
      <c r="B29">
        <v>13016</v>
      </c>
      <c r="C29">
        <v>10</v>
      </c>
      <c r="D29">
        <f t="shared" ref="D29" si="9">IF(B29=0,0,(B29-$J$6)/$I$6)*C29</f>
        <v>2115.4909020501955</v>
      </c>
      <c r="E29">
        <f t="shared" ref="E29" si="10">1.51*D29/1000</f>
        <v>3.1943912620957953</v>
      </c>
      <c r="F29">
        <f t="shared" ref="F29" si="11">D29*0.49/1000</f>
        <v>1.0365905420045958</v>
      </c>
      <c r="G29" s="2" t="s">
        <v>143</v>
      </c>
      <c r="H29">
        <v>12370</v>
      </c>
      <c r="I29">
        <v>10</v>
      </c>
      <c r="J29">
        <f t="shared" ref="J29" si="12">IF(H29=0,0,(H29-$J$6)/$I$6)*I29</f>
        <v>2012.9280840336721</v>
      </c>
      <c r="K29">
        <f t="shared" ref="K29" si="13">1.51*J29/1000</f>
        <v>3.0395214068908447</v>
      </c>
      <c r="L29">
        <f t="shared" ref="L29" si="14">J29*0.49/1000</f>
        <v>0.98633476117649932</v>
      </c>
      <c r="Q29" s="2"/>
    </row>
    <row r="30" spans="1:21" x14ac:dyDescent="0.25">
      <c r="A30" s="2" t="s">
        <v>144</v>
      </c>
      <c r="B30">
        <v>670</v>
      </c>
      <c r="C30">
        <v>10</v>
      </c>
      <c r="D30">
        <f t="shared" ref="D30" si="15">IF(B30=0,0,(B30-$J$7)/$I$7)*C30</f>
        <v>105.78123420959832</v>
      </c>
      <c r="E30">
        <f t="shared" ref="E30:E31" si="16">1.82*D30/1000</f>
        <v>0.19252184626146895</v>
      </c>
      <c r="F30">
        <f t="shared" ref="F30:F31" si="17">D30*0.54/1000</f>
        <v>5.7121866473183097E-2</v>
      </c>
      <c r="G30" s="2" t="s">
        <v>144</v>
      </c>
      <c r="H30">
        <v>708</v>
      </c>
      <c r="I30">
        <v>10</v>
      </c>
      <c r="J30">
        <f t="shared" ref="J30" si="18">IF(H30=0,0,(H30-$J$7)/$I$7)*I30</f>
        <v>110.92039146178141</v>
      </c>
      <c r="K30">
        <f t="shared" ref="K30:K31" si="19">1.82*J30/1000</f>
        <v>0.20187511246044215</v>
      </c>
      <c r="L30">
        <f t="shared" ref="L30:L31" si="20">J30*0.54/1000</f>
        <v>5.9897011389361966E-2</v>
      </c>
      <c r="Q30" s="2"/>
    </row>
    <row r="31" spans="1:21" x14ac:dyDescent="0.25">
      <c r="A31" s="2" t="s">
        <v>145</v>
      </c>
      <c r="B31">
        <v>7348</v>
      </c>
      <c r="C31">
        <v>10</v>
      </c>
      <c r="D31">
        <f t="shared" ref="D31" si="21">IF(B31=0,0,(B31-$J$8)/$I$8)*C31</f>
        <v>937.04550237934632</v>
      </c>
      <c r="E31">
        <f t="shared" si="16"/>
        <v>1.7054228143304104</v>
      </c>
      <c r="F31">
        <f t="shared" si="17"/>
        <v>0.50600457128484699</v>
      </c>
      <c r="G31" s="2" t="s">
        <v>145</v>
      </c>
      <c r="H31">
        <v>8251</v>
      </c>
      <c r="I31">
        <v>10</v>
      </c>
      <c r="J31">
        <f t="shared" ref="J31" si="22">IF(H31=0,0,(H31-$J$8)/$I$8)*I31</f>
        <v>1042.6297221210514</v>
      </c>
      <c r="K31">
        <f t="shared" si="19"/>
        <v>1.8975860942603135</v>
      </c>
      <c r="L31">
        <f t="shared" si="20"/>
        <v>0.56302004994536781</v>
      </c>
      <c r="Q31" s="2"/>
    </row>
    <row r="32" spans="1:21" x14ac:dyDescent="0.25">
      <c r="A32" s="2" t="s">
        <v>146</v>
      </c>
      <c r="B32">
        <v>818</v>
      </c>
      <c r="C32">
        <v>10</v>
      </c>
      <c r="D32">
        <f t="shared" ref="D32" si="23">IF(B32=0,0,(B32-$J$9)/$I$9)*C32</f>
        <v>151.48847569666782</v>
      </c>
      <c r="E32">
        <f t="shared" ref="E32:E33" si="24">2.04*D32/1000</f>
        <v>0.30903649042120235</v>
      </c>
      <c r="F32">
        <f t="shared" ref="F32:F33" si="25">D32*0.59/1000</f>
        <v>8.937820066103401E-2</v>
      </c>
      <c r="G32" s="2" t="s">
        <v>146</v>
      </c>
      <c r="H32">
        <v>876</v>
      </c>
      <c r="I32">
        <v>10</v>
      </c>
      <c r="J32">
        <f t="shared" ref="J32" si="26">IF(H32=0,0,(H32-$J$9)/$I$9)*I32</f>
        <v>157.95160055775452</v>
      </c>
      <c r="K32">
        <f t="shared" ref="K32:K33" si="27">2.04*J32/1000</f>
        <v>0.32222126513781923</v>
      </c>
      <c r="L32">
        <f t="shared" ref="L32:L33" si="28">J32*0.59/1000</f>
        <v>9.3191444329075154E-2</v>
      </c>
      <c r="Q32" s="2"/>
    </row>
    <row r="33" spans="1:21" x14ac:dyDescent="0.25">
      <c r="A33" s="2" t="s">
        <v>147</v>
      </c>
      <c r="B33">
        <v>627</v>
      </c>
      <c r="C33">
        <v>10</v>
      </c>
      <c r="D33">
        <f t="shared" ref="D33" si="29">IF(B33=0,0,(B33-$J$10)/$I$10)*C33</f>
        <v>119.58311402932969</v>
      </c>
      <c r="E33">
        <f t="shared" si="24"/>
        <v>0.24394955261983259</v>
      </c>
      <c r="F33">
        <f t="shared" si="25"/>
        <v>7.0554037277304513E-2</v>
      </c>
      <c r="G33" s="2" t="s">
        <v>147</v>
      </c>
      <c r="H33">
        <v>626</v>
      </c>
      <c r="I33">
        <v>10</v>
      </c>
      <c r="J33">
        <f t="shared" ref="J33" si="30">IF(H33=0,0,(H33-$J$10)/$I$10)*I33</f>
        <v>119.47868678607017</v>
      </c>
      <c r="K33">
        <f t="shared" si="27"/>
        <v>0.24373652104358315</v>
      </c>
      <c r="L33">
        <f t="shared" si="28"/>
        <v>7.0492425203781392E-2</v>
      </c>
      <c r="Q33" s="2"/>
    </row>
    <row r="34" spans="1:21" x14ac:dyDescent="0.25">
      <c r="A34" s="2" t="s">
        <v>148</v>
      </c>
      <c r="B34">
        <v>574</v>
      </c>
      <c r="C34">
        <v>10</v>
      </c>
      <c r="D34">
        <f t="shared" ref="D34" si="31">IF(B34=0,0,(B34-$J$11)/$I$11)*1</f>
        <v>10.100641460428365</v>
      </c>
      <c r="E34">
        <f t="shared" ref="E34" si="32">2.21*D34/1000</f>
        <v>2.2322417627546689E-2</v>
      </c>
      <c r="F34">
        <f t="shared" ref="F34" si="33">D34*0.62/1000</f>
        <v>6.2623977054655864E-3</v>
      </c>
      <c r="G34" s="2" t="s">
        <v>148</v>
      </c>
      <c r="H34">
        <v>631</v>
      </c>
      <c r="I34">
        <v>10</v>
      </c>
      <c r="J34">
        <f t="shared" ref="J34" si="34">IF(H34=0,0,(H34-$J$11)/$I$11)*1</f>
        <v>10.677634733449345</v>
      </c>
      <c r="K34">
        <f t="shared" ref="K34" si="35">2.21*J34/1000</f>
        <v>2.3597572760923054E-2</v>
      </c>
      <c r="L34">
        <f t="shared" ref="L34" si="36">J34*0.62/1000</f>
        <v>6.620133534738594E-3</v>
      </c>
      <c r="Q34" s="2"/>
    </row>
    <row r="35" spans="1:21" x14ac:dyDescent="0.25">
      <c r="A35" s="2" t="s">
        <v>149</v>
      </c>
      <c r="B35">
        <v>0</v>
      </c>
      <c r="C35">
        <v>10</v>
      </c>
      <c r="D35">
        <f t="shared" ref="D35" si="37">IF(B35=0,0,(B35-$J$12)/$I$12)*1</f>
        <v>0</v>
      </c>
      <c r="E35">
        <f t="shared" ref="E35" si="38">2.34*D35/1000</f>
        <v>0</v>
      </c>
      <c r="F35">
        <f t="shared" ref="F35" si="39">D35*0.65/1000</f>
        <v>0</v>
      </c>
      <c r="G35" s="2" t="s">
        <v>149</v>
      </c>
      <c r="H35">
        <v>0</v>
      </c>
      <c r="I35">
        <v>10</v>
      </c>
      <c r="J35">
        <f t="shared" ref="J35" si="40">IF(H35=0,0,(H35-$J$12)/$I$12)*1</f>
        <v>0</v>
      </c>
      <c r="K35">
        <f t="shared" ref="K35" si="41">2.34*J35/1000</f>
        <v>0</v>
      </c>
      <c r="L35">
        <f t="shared" ref="L35" si="42">J35*0.65/1000</f>
        <v>0</v>
      </c>
      <c r="Q35" s="2"/>
    </row>
    <row r="36" spans="1:21" x14ac:dyDescent="0.25">
      <c r="B36" s="2" t="s">
        <v>171</v>
      </c>
      <c r="C36" s="2"/>
      <c r="D36" s="2">
        <f t="shared" ref="D36:F36" si="43">SUM(D28:D35)</f>
        <v>7237.78052636544</v>
      </c>
      <c r="E36" s="2">
        <f t="shared" si="43"/>
        <v>9.7318153858539223</v>
      </c>
      <c r="F36" s="2">
        <f t="shared" si="43"/>
        <v>3.2852278780223796</v>
      </c>
      <c r="H36" s="2" t="s">
        <v>171</v>
      </c>
      <c r="I36" s="2"/>
      <c r="J36" s="2">
        <f t="shared" ref="J36:L36" si="44">SUM(J28:J35)</f>
        <v>7479.9502619900186</v>
      </c>
      <c r="K36" s="2">
        <f t="shared" si="44"/>
        <v>10.035677604810905</v>
      </c>
      <c r="L36" s="2">
        <f t="shared" si="44"/>
        <v>3.3897014824973204</v>
      </c>
      <c r="M36" s="2"/>
      <c r="N36" s="2"/>
      <c r="O36" s="2"/>
      <c r="P36" s="2"/>
      <c r="R36" s="2"/>
      <c r="S36" s="2"/>
      <c r="T36" s="2"/>
      <c r="U36" s="2"/>
    </row>
    <row r="38" spans="1:21" x14ac:dyDescent="0.25">
      <c r="A38" s="2" t="s">
        <v>165</v>
      </c>
      <c r="B38" s="2" t="s">
        <v>63</v>
      </c>
      <c r="C38" s="2"/>
      <c r="G38" s="2" t="s">
        <v>165</v>
      </c>
      <c r="H38" s="2" t="s">
        <v>64</v>
      </c>
      <c r="I38" s="2"/>
      <c r="L38" s="2"/>
      <c r="M38" s="2"/>
      <c r="N38" s="2"/>
      <c r="Q38" s="2"/>
      <c r="R38" s="2"/>
      <c r="S38" s="2"/>
    </row>
    <row r="39" spans="1:21" x14ac:dyDescent="0.25">
      <c r="A39" s="2" t="s">
        <v>160</v>
      </c>
      <c r="B39" s="2" t="s">
        <v>166</v>
      </c>
      <c r="C39" s="2" t="s">
        <v>167</v>
      </c>
      <c r="D39" s="2" t="s">
        <v>168</v>
      </c>
      <c r="E39" s="2" t="s">
        <v>169</v>
      </c>
      <c r="F39" s="2" t="s">
        <v>170</v>
      </c>
      <c r="G39" s="2" t="s">
        <v>160</v>
      </c>
      <c r="H39" s="2" t="s">
        <v>166</v>
      </c>
      <c r="I39" s="2" t="s">
        <v>167</v>
      </c>
      <c r="J39" s="2" t="s">
        <v>168</v>
      </c>
      <c r="K39" s="2" t="s">
        <v>169</v>
      </c>
      <c r="L39" s="2" t="s">
        <v>170</v>
      </c>
      <c r="M39" s="2"/>
      <c r="N39" s="2"/>
      <c r="O39" s="2"/>
      <c r="P39" s="2"/>
      <c r="Q39" s="2"/>
      <c r="R39" s="2"/>
      <c r="S39" s="2"/>
      <c r="T39" s="2"/>
      <c r="U39" s="2"/>
    </row>
    <row r="40" spans="1:21" x14ac:dyDescent="0.25">
      <c r="A40" s="2" t="s">
        <v>142</v>
      </c>
      <c r="B40">
        <v>11896</v>
      </c>
      <c r="C40">
        <v>10</v>
      </c>
      <c r="D40">
        <f t="shared" ref="D40" si="45">IF(B40=0,0,(B40-$J$5)/$I$5)*C40</f>
        <v>3124.0135561398865</v>
      </c>
      <c r="E40">
        <f t="shared" ref="E40" si="46">1.07*D40/1000</f>
        <v>3.3426945050696788</v>
      </c>
      <c r="F40">
        <f t="shared" ref="F40" si="47">D40*0.4/1000</f>
        <v>1.2496054224559547</v>
      </c>
      <c r="G40" s="2" t="s">
        <v>142</v>
      </c>
      <c r="H40">
        <v>12531</v>
      </c>
      <c r="I40">
        <v>10</v>
      </c>
      <c r="J40">
        <f t="shared" ref="J40" si="48">IF(H40=0,0,(H40-$J$5)/$I$5)*I40</f>
        <v>3287.3110232466724</v>
      </c>
      <c r="K40">
        <f t="shared" ref="K40" si="49">1.07*J40/1000</f>
        <v>3.5174227948739398</v>
      </c>
      <c r="L40">
        <f t="shared" ref="L40" si="50">J40*0.4/1000</f>
        <v>1.3149244092986692</v>
      </c>
      <c r="Q40" s="2"/>
    </row>
    <row r="41" spans="1:21" x14ac:dyDescent="0.25">
      <c r="A41" s="2" t="s">
        <v>143</v>
      </c>
      <c r="B41">
        <v>6226</v>
      </c>
      <c r="C41">
        <v>10</v>
      </c>
      <c r="D41">
        <f t="shared" ref="D41" si="51">IF(B41=0,0,(B41-$J$6)/$I$6)*C41</f>
        <v>1037.4699510715684</v>
      </c>
      <c r="E41">
        <f t="shared" ref="E41" si="52">1.51*D41/1000</f>
        <v>1.5665796261180682</v>
      </c>
      <c r="F41">
        <f t="shared" ref="F41" si="53">D41*0.49/1000</f>
        <v>0.5083602760250685</v>
      </c>
      <c r="G41" s="2" t="s">
        <v>143</v>
      </c>
      <c r="H41">
        <v>7132</v>
      </c>
      <c r="I41">
        <v>10</v>
      </c>
      <c r="J41">
        <f t="shared" ref="J41" si="54">IF(H41=0,0,(H41-$J$6)/$I$6)*I41</f>
        <v>1181.3119218501602</v>
      </c>
      <c r="K41">
        <f t="shared" ref="K41" si="55">1.51*J41/1000</f>
        <v>1.7837810019937419</v>
      </c>
      <c r="L41">
        <f t="shared" ref="L41" si="56">J41*0.49/1000</f>
        <v>0.57884284170657851</v>
      </c>
      <c r="Q41" s="2"/>
    </row>
    <row r="42" spans="1:21" x14ac:dyDescent="0.25">
      <c r="A42" s="2" t="s">
        <v>144</v>
      </c>
      <c r="B42">
        <v>462</v>
      </c>
      <c r="C42">
        <v>10</v>
      </c>
      <c r="D42">
        <f t="shared" ref="D42" si="57">IF(B42=0,0,(B42-$J$7)/$I$7)*C42</f>
        <v>77.651110302911903</v>
      </c>
      <c r="E42">
        <f t="shared" ref="E42:E43" si="58">1.82*D42/1000</f>
        <v>0.14132502075129966</v>
      </c>
      <c r="F42">
        <f t="shared" ref="F42:F43" si="59">D42*0.54/1000</f>
        <v>4.1931599563572432E-2</v>
      </c>
      <c r="G42" s="2" t="s">
        <v>144</v>
      </c>
      <c r="H42">
        <v>463</v>
      </c>
      <c r="I42">
        <v>10</v>
      </c>
      <c r="J42">
        <f t="shared" ref="J42" si="60">IF(H42=0,0,(H42-$J$7)/$I$7)*I42</f>
        <v>77.786351283232506</v>
      </c>
      <c r="K42">
        <f t="shared" ref="K42:K43" si="61">1.82*J42/1000</f>
        <v>0.14157115933548317</v>
      </c>
      <c r="L42">
        <f t="shared" ref="L42:L43" si="62">J42*0.54/1000</f>
        <v>4.2004629692945557E-2</v>
      </c>
      <c r="Q42" s="2"/>
    </row>
    <row r="43" spans="1:21" x14ac:dyDescent="0.25">
      <c r="A43" s="2" t="s">
        <v>145</v>
      </c>
      <c r="B43">
        <v>16425</v>
      </c>
      <c r="C43">
        <v>10</v>
      </c>
      <c r="D43">
        <f t="shared" ref="D43" si="63">IF(B43=0,0,(B43-$J$8)/$I$8)*C43</f>
        <v>1998.383223969</v>
      </c>
      <c r="E43">
        <f t="shared" si="58"/>
        <v>3.6370574676235803</v>
      </c>
      <c r="F43">
        <f t="shared" si="59"/>
        <v>1.07912694094326</v>
      </c>
      <c r="G43" s="2" t="s">
        <v>145</v>
      </c>
      <c r="H43">
        <v>15563</v>
      </c>
      <c r="I43">
        <v>10</v>
      </c>
      <c r="J43">
        <f t="shared" ref="J43" si="64">IF(H43=0,0,(H43-$J$8)/$I$8)*I43</f>
        <v>1897.5929721225441</v>
      </c>
      <c r="K43">
        <f t="shared" si="61"/>
        <v>3.4536192092630302</v>
      </c>
      <c r="L43">
        <f t="shared" si="62"/>
        <v>1.024700204946174</v>
      </c>
      <c r="Q43" s="2"/>
    </row>
    <row r="44" spans="1:21" x14ac:dyDescent="0.25">
      <c r="A44" s="2" t="s">
        <v>146</v>
      </c>
      <c r="B44">
        <v>565</v>
      </c>
      <c r="C44">
        <v>10</v>
      </c>
      <c r="D44">
        <f t="shared" ref="D44" si="65">IF(B44=0,0,(B44-$J$9)/$I$9)*C44</f>
        <v>123.29587931985863</v>
      </c>
      <c r="E44">
        <f t="shared" ref="E44:E45" si="66">2.04*D44/1000</f>
        <v>0.2515235938125116</v>
      </c>
      <c r="F44">
        <f t="shared" ref="F44:F45" si="67">D44*0.59/1000</f>
        <v>7.2744568798716588E-2</v>
      </c>
      <c r="G44" s="2" t="s">
        <v>146</v>
      </c>
      <c r="H44">
        <v>612</v>
      </c>
      <c r="I44">
        <v>10</v>
      </c>
      <c r="J44">
        <f t="shared" ref="J44" si="68">IF(H44=0,0,(H44-$J$9)/$I$9)*I44</f>
        <v>128.53323912108405</v>
      </c>
      <c r="K44">
        <f t="shared" ref="K44:K45" si="69">2.04*J44/1000</f>
        <v>0.26220780780701147</v>
      </c>
      <c r="L44">
        <f t="shared" ref="L44:L45" si="70">J44*0.59/1000</f>
        <v>7.5834611081439587E-2</v>
      </c>
      <c r="Q44" s="2"/>
    </row>
    <row r="45" spans="1:21" x14ac:dyDescent="0.25">
      <c r="A45" s="2" t="s">
        <v>147</v>
      </c>
      <c r="B45">
        <v>1592</v>
      </c>
      <c r="C45">
        <v>10</v>
      </c>
      <c r="D45">
        <f t="shared" ref="D45" si="71">IF(B45=0,0,(B45-$J$10)/$I$10)*C45</f>
        <v>220.3554037747594</v>
      </c>
      <c r="E45">
        <f t="shared" si="66"/>
        <v>0.44952502370050917</v>
      </c>
      <c r="F45">
        <f t="shared" si="67"/>
        <v>0.13000968822710804</v>
      </c>
      <c r="G45" s="2" t="s">
        <v>147</v>
      </c>
      <c r="H45">
        <v>2010</v>
      </c>
      <c r="I45">
        <v>10</v>
      </c>
      <c r="J45">
        <f t="shared" ref="J45" si="72">IF(H45=0,0,(H45-$J$10)/$I$10)*I45</f>
        <v>264.00599145723567</v>
      </c>
      <c r="K45">
        <f t="shared" si="69"/>
        <v>0.53857222257276083</v>
      </c>
      <c r="L45">
        <f t="shared" si="70"/>
        <v>0.15576353495976902</v>
      </c>
      <c r="Q45" s="2"/>
    </row>
    <row r="46" spans="1:21" x14ac:dyDescent="0.25">
      <c r="A46" s="2" t="s">
        <v>148</v>
      </c>
      <c r="B46">
        <v>1982</v>
      </c>
      <c r="C46">
        <v>10</v>
      </c>
      <c r="D46">
        <f t="shared" ref="D46" si="73">IF(B46=0,0,(B46-$J$11)/$I$11)*1</f>
        <v>24.353387572946616</v>
      </c>
      <c r="E46">
        <f t="shared" ref="E46" si="74">2.21*D46/1000</f>
        <v>5.382098653621202E-2</v>
      </c>
      <c r="F46">
        <f t="shared" ref="F46" si="75">D46*0.62/1000</f>
        <v>1.5099100295226903E-2</v>
      </c>
      <c r="G46" s="2" t="s">
        <v>148</v>
      </c>
      <c r="H46">
        <v>3135</v>
      </c>
      <c r="I46">
        <v>10</v>
      </c>
      <c r="J46">
        <f t="shared" ref="J46" si="76">IF(H46=0,0,(H46-$J$11)/$I$11)*1</f>
        <v>36.024847990371008</v>
      </c>
      <c r="K46">
        <f t="shared" ref="K46" si="77">2.21*J46/1000</f>
        <v>7.9614914058719927E-2</v>
      </c>
      <c r="L46">
        <f t="shared" ref="L46" si="78">J46*0.62/1000</f>
        <v>2.2335405754030025E-2</v>
      </c>
      <c r="Q46" s="2"/>
    </row>
    <row r="47" spans="1:21" x14ac:dyDescent="0.25">
      <c r="A47" s="2" t="s">
        <v>149</v>
      </c>
      <c r="B47">
        <v>127</v>
      </c>
      <c r="C47">
        <v>10</v>
      </c>
      <c r="D47">
        <f t="shared" ref="D47" si="79">IF(B47=0,0,(B47-$J$12)/$I$12)*1</f>
        <v>1.7699795024229474</v>
      </c>
      <c r="E47">
        <f t="shared" ref="E47" si="80">2.34*D47/1000</f>
        <v>4.1417520356696966E-3</v>
      </c>
      <c r="F47">
        <f t="shared" ref="F47" si="81">D47*0.65/1000</f>
        <v>1.1504866765749157E-3</v>
      </c>
      <c r="G47" s="2" t="s">
        <v>149</v>
      </c>
      <c r="H47">
        <v>228</v>
      </c>
      <c r="I47">
        <v>10</v>
      </c>
      <c r="J47">
        <f t="shared" ref="J47" si="82">IF(H47=0,0,(H47-$J$12)/$I$12)*1</f>
        <v>2.7881779280010699</v>
      </c>
      <c r="K47">
        <f t="shared" ref="K47" si="83">2.34*J47/1000</f>
        <v>6.5243363515225033E-3</v>
      </c>
      <c r="L47">
        <f t="shared" ref="L47" si="84">J47*0.65/1000</f>
        <v>1.8123156532006955E-3</v>
      </c>
      <c r="Q47" s="2"/>
    </row>
    <row r="48" spans="1:21" x14ac:dyDescent="0.25">
      <c r="B48" s="2" t="s">
        <v>171</v>
      </c>
      <c r="C48" s="2"/>
      <c r="D48" s="2">
        <f t="shared" ref="D48:F48" si="85">SUM(D40:D47)</f>
        <v>6607.292491653353</v>
      </c>
      <c r="E48" s="2">
        <f t="shared" si="85"/>
        <v>9.4466679756475305</v>
      </c>
      <c r="F48" s="2">
        <f t="shared" si="85"/>
        <v>3.0980280829854823</v>
      </c>
      <c r="H48" s="2" t="s">
        <v>171</v>
      </c>
      <c r="I48" s="2"/>
      <c r="J48" s="2">
        <f t="shared" ref="J48:L48" si="86">SUM(J40:J47)</f>
        <v>6875.3545249993022</v>
      </c>
      <c r="K48" s="2">
        <f t="shared" si="86"/>
        <v>9.7833134462562104</v>
      </c>
      <c r="L48" s="2">
        <f t="shared" si="86"/>
        <v>3.2162179530928063</v>
      </c>
      <c r="M48" s="2"/>
      <c r="N48" s="2"/>
      <c r="O48" s="2"/>
      <c r="P48" s="2"/>
      <c r="Q48" s="2"/>
      <c r="R48" s="2"/>
      <c r="S48" s="2"/>
      <c r="T48" s="2"/>
      <c r="U48" s="2"/>
    </row>
    <row r="49" spans="1:21" x14ac:dyDescent="0.25">
      <c r="B49" s="2"/>
      <c r="C49" s="2"/>
      <c r="D49" s="2"/>
      <c r="E49" s="2"/>
      <c r="F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x14ac:dyDescent="0.25">
      <c r="A50" s="2" t="s">
        <v>156</v>
      </c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x14ac:dyDescent="0.25">
      <c r="B51" s="2"/>
      <c r="C51" s="2" t="s">
        <v>157</v>
      </c>
      <c r="D51" s="2" t="s">
        <v>158</v>
      </c>
      <c r="E51" s="2" t="s">
        <v>159</v>
      </c>
      <c r="F51" s="2" t="s">
        <v>157</v>
      </c>
      <c r="G51" s="2" t="s">
        <v>158</v>
      </c>
      <c r="H51" s="2" t="s">
        <v>159</v>
      </c>
      <c r="I51" s="2"/>
      <c r="J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x14ac:dyDescent="0.25">
      <c r="A52" s="2" t="s">
        <v>160</v>
      </c>
      <c r="B52" s="2" t="s">
        <v>161</v>
      </c>
      <c r="C52" s="2" t="s">
        <v>162</v>
      </c>
      <c r="D52" s="2" t="s">
        <v>162</v>
      </c>
      <c r="E52" s="2" t="s">
        <v>162</v>
      </c>
      <c r="F52" s="2" t="s">
        <v>163</v>
      </c>
      <c r="G52" s="2" t="s">
        <v>163</v>
      </c>
      <c r="H52" s="2" t="s">
        <v>163</v>
      </c>
      <c r="I52" s="2" t="s">
        <v>94</v>
      </c>
      <c r="J52" s="2" t="s">
        <v>95</v>
      </c>
      <c r="K52" s="2" t="s">
        <v>164</v>
      </c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ht="15.75" x14ac:dyDescent="0.25">
      <c r="A53" s="2" t="s">
        <v>142</v>
      </c>
      <c r="B53" s="44">
        <v>5.742</v>
      </c>
      <c r="C53" s="44">
        <v>2063</v>
      </c>
      <c r="D53" s="44">
        <v>10135</v>
      </c>
      <c r="E53" s="44">
        <v>20474</v>
      </c>
      <c r="F53" s="45">
        <v>53</v>
      </c>
      <c r="G53" s="45">
        <v>263</v>
      </c>
      <c r="H53" s="45">
        <v>525</v>
      </c>
      <c r="I53">
        <f>LINEST(C53:E53, F53:H53)</f>
        <v>39.024850385064738</v>
      </c>
      <c r="J53">
        <f>INTERCEPT(C53:E53, F53:H53)</f>
        <v>-49.299724613145372</v>
      </c>
      <c r="K53">
        <f>RSQ(C53:E53,F53:H53)</f>
        <v>0.9999444895256987</v>
      </c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ht="15.75" x14ac:dyDescent="0.25">
      <c r="A54" s="2" t="s">
        <v>143</v>
      </c>
      <c r="B54" s="44">
        <v>6.7080000000000002</v>
      </c>
      <c r="C54" s="44">
        <v>3141</v>
      </c>
      <c r="D54" s="44">
        <v>15565</v>
      </c>
      <c r="E54" s="44">
        <v>31458</v>
      </c>
      <c r="F54" s="45">
        <v>49</v>
      </c>
      <c r="G54" s="45">
        <v>247</v>
      </c>
      <c r="H54" s="45">
        <v>495</v>
      </c>
      <c r="I54">
        <f t="shared" ref="I54:I60" si="87">LINEST(C54:E54, F54:H54)</f>
        <v>63.515599551437802</v>
      </c>
      <c r="J54">
        <f>INTERCEPT(C54:E54, F54:H54)</f>
        <v>-25.613081729101395</v>
      </c>
      <c r="K54">
        <f t="shared" ref="K54:K55" si="88">RSQ(C54:E54,F54:H54)</f>
        <v>0.9999642875241892</v>
      </c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ht="15.75" x14ac:dyDescent="0.25">
      <c r="A55" s="2" t="s">
        <v>144</v>
      </c>
      <c r="B55" s="44">
        <v>7.0460000000000003</v>
      </c>
      <c r="C55" s="44">
        <v>3515</v>
      </c>
      <c r="D55" s="44">
        <v>17300</v>
      </c>
      <c r="E55" s="44">
        <v>34904</v>
      </c>
      <c r="F55" s="45">
        <v>47</v>
      </c>
      <c r="G55" s="45">
        <v>235</v>
      </c>
      <c r="H55" s="45">
        <v>469</v>
      </c>
      <c r="I55">
        <f t="shared" si="87"/>
        <v>74.415602720520241</v>
      </c>
      <c r="J55">
        <f t="shared" ref="J55:J60" si="89">INTERCEPT(C55:E55, F55:H55)</f>
        <v>-55.705881036905339</v>
      </c>
      <c r="K55">
        <f t="shared" si="88"/>
        <v>0.99994702939356139</v>
      </c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15.75" x14ac:dyDescent="0.25">
      <c r="A56" s="2" t="s">
        <v>145</v>
      </c>
      <c r="B56" s="44">
        <v>7.7649999999999997</v>
      </c>
      <c r="C56" s="44">
        <v>3746</v>
      </c>
      <c r="D56" s="44">
        <v>19262</v>
      </c>
      <c r="E56" s="44">
        <v>38783</v>
      </c>
      <c r="F56" s="45">
        <v>45</v>
      </c>
      <c r="G56" s="45">
        <v>227</v>
      </c>
      <c r="H56" s="45">
        <v>453</v>
      </c>
      <c r="I56">
        <f t="shared" si="87"/>
        <v>85.894879200842581</v>
      </c>
      <c r="J56">
        <f t="shared" si="89"/>
        <v>-160.92914020361786</v>
      </c>
      <c r="K56">
        <f>RSQ(C56:E56,F56:H56)</f>
        <v>0.99998618364371372</v>
      </c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ht="15.75" x14ac:dyDescent="0.25">
      <c r="A57" s="2" t="s">
        <v>146</v>
      </c>
      <c r="B57" s="44">
        <v>8.2309999999999999</v>
      </c>
      <c r="C57" s="44">
        <v>4064</v>
      </c>
      <c r="D57" s="44">
        <v>20408</v>
      </c>
      <c r="E57" s="44">
        <v>41050</v>
      </c>
      <c r="F57" s="45">
        <v>46</v>
      </c>
      <c r="G57" s="45">
        <v>228</v>
      </c>
      <c r="H57" s="45">
        <v>455</v>
      </c>
      <c r="I57">
        <f t="shared" si="87"/>
        <v>90.450737097811327</v>
      </c>
      <c r="J57">
        <f t="shared" si="89"/>
        <v>-138.86244810148492</v>
      </c>
      <c r="K57">
        <f t="shared" ref="K57:K60" si="90">RSQ(C57:E57,F57:H57)</f>
        <v>0.99998737031017593</v>
      </c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ht="15.75" x14ac:dyDescent="0.25">
      <c r="A58" s="2" t="s">
        <v>147</v>
      </c>
      <c r="B58" s="44">
        <v>9.0050000000000008</v>
      </c>
      <c r="C58" s="44">
        <v>4182</v>
      </c>
      <c r="D58" s="44">
        <v>21186</v>
      </c>
      <c r="E58" s="44">
        <v>42568</v>
      </c>
      <c r="F58" s="45">
        <v>44</v>
      </c>
      <c r="G58" s="45">
        <v>221</v>
      </c>
      <c r="H58" s="45">
        <v>443</v>
      </c>
      <c r="I58">
        <f t="shared" si="87"/>
        <v>96.21008781805898</v>
      </c>
      <c r="J58">
        <f t="shared" si="89"/>
        <v>-60.247391728589719</v>
      </c>
      <c r="K58">
        <f t="shared" si="90"/>
        <v>0.99999946691155905</v>
      </c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ht="15.75" x14ac:dyDescent="0.25">
      <c r="A59" s="2" t="s">
        <v>148</v>
      </c>
      <c r="B59" s="44">
        <v>10.172000000000001</v>
      </c>
      <c r="C59" s="44">
        <v>4344</v>
      </c>
      <c r="D59" s="44">
        <v>21759</v>
      </c>
      <c r="E59" s="44">
        <v>44009</v>
      </c>
      <c r="F59" s="45">
        <v>44</v>
      </c>
      <c r="G59" s="45">
        <v>222</v>
      </c>
      <c r="H59" s="45">
        <v>444</v>
      </c>
      <c r="I59">
        <f t="shared" si="87"/>
        <v>99.205579164038426</v>
      </c>
      <c r="J59">
        <f t="shared" si="89"/>
        <v>-107.98706882241459</v>
      </c>
      <c r="K59">
        <f t="shared" si="90"/>
        <v>0.99995325039762928</v>
      </c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ht="15.75" x14ac:dyDescent="0.25">
      <c r="A60" s="2" t="s">
        <v>149</v>
      </c>
      <c r="B60" s="44">
        <v>11.287000000000001</v>
      </c>
      <c r="C60" s="44">
        <v>4646</v>
      </c>
      <c r="D60" s="44">
        <v>23864</v>
      </c>
      <c r="E60" s="44">
        <v>48273</v>
      </c>
      <c r="F60" s="45">
        <v>47</v>
      </c>
      <c r="G60" s="45">
        <v>234</v>
      </c>
      <c r="H60" s="45">
        <v>467</v>
      </c>
      <c r="I60">
        <f t="shared" si="87"/>
        <v>103.90954911954469</v>
      </c>
      <c r="J60">
        <f t="shared" si="89"/>
        <v>-313.78091380648402</v>
      </c>
      <c r="K60">
        <f t="shared" si="90"/>
        <v>0.99997041444819057</v>
      </c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x14ac:dyDescent="0.25">
      <c r="B61" s="2"/>
      <c r="C61" s="2"/>
      <c r="D61" s="2"/>
      <c r="E61" s="2"/>
      <c r="F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x14ac:dyDescent="0.25">
      <c r="A62" s="2" t="s">
        <v>165</v>
      </c>
      <c r="B62" s="2" t="s">
        <v>66</v>
      </c>
      <c r="C62" s="2"/>
      <c r="G62" s="2" t="s">
        <v>165</v>
      </c>
      <c r="H62" s="2" t="s">
        <v>67</v>
      </c>
      <c r="I62" s="2"/>
      <c r="L62" s="2"/>
      <c r="N62" s="2"/>
    </row>
    <row r="63" spans="1:21" x14ac:dyDescent="0.25">
      <c r="A63" s="2" t="s">
        <v>160</v>
      </c>
      <c r="B63" s="2" t="s">
        <v>166</v>
      </c>
      <c r="C63" s="2" t="s">
        <v>167</v>
      </c>
      <c r="D63" s="2" t="s">
        <v>168</v>
      </c>
      <c r="E63" s="2" t="s">
        <v>169</v>
      </c>
      <c r="F63" s="2" t="s">
        <v>170</v>
      </c>
      <c r="G63" s="2" t="s">
        <v>160</v>
      </c>
      <c r="H63" s="2" t="s">
        <v>166</v>
      </c>
      <c r="I63" s="2" t="s">
        <v>167</v>
      </c>
      <c r="J63" s="2" t="s">
        <v>168</v>
      </c>
      <c r="K63" s="2" t="s">
        <v>169</v>
      </c>
      <c r="L63" s="2" t="s">
        <v>170</v>
      </c>
      <c r="N63" s="2"/>
    </row>
    <row r="64" spans="1:21" x14ac:dyDescent="0.25">
      <c r="A64" s="2" t="s">
        <v>142</v>
      </c>
      <c r="B64">
        <v>10964</v>
      </c>
      <c r="C64">
        <v>10</v>
      </c>
      <c r="D64">
        <f>IF(B64=0,0,(B64-$J$53)/$I$53)*C64</f>
        <v>2822.1247784278657</v>
      </c>
      <c r="E64">
        <f t="shared" ref="E64" si="91">1.07*D64/1000</f>
        <v>3.0196735129178163</v>
      </c>
      <c r="F64">
        <f t="shared" ref="F64" si="92">D64*0.4/1000</f>
        <v>1.1288499113711463</v>
      </c>
      <c r="G64" s="2" t="s">
        <v>142</v>
      </c>
      <c r="H64">
        <v>10673</v>
      </c>
      <c r="I64">
        <v>10</v>
      </c>
      <c r="J64">
        <f>IF(H64=0,0,(H64-$J$53)/$I$53)*I64</f>
        <v>2747.556907666376</v>
      </c>
      <c r="K64">
        <f>1.07*J64/1000</f>
        <v>2.9398858912030224</v>
      </c>
      <c r="L64">
        <f t="shared" ref="L64" si="93">J64*0.4/1000</f>
        <v>1.0990227630665503</v>
      </c>
    </row>
    <row r="65" spans="1:12" x14ac:dyDescent="0.25">
      <c r="A65" s="2" t="s">
        <v>143</v>
      </c>
      <c r="B65">
        <v>2773</v>
      </c>
      <c r="C65">
        <v>10</v>
      </c>
      <c r="D65">
        <f>IF(B65=0,0,(B65-$J$54)/$I$54)*C65</f>
        <v>440.61822630874451</v>
      </c>
      <c r="E65">
        <f t="shared" ref="E65" si="94">1.51*D65/1000</f>
        <v>0.6653335217262043</v>
      </c>
      <c r="F65">
        <f t="shared" ref="F65" si="95">D65*0.49/1000</f>
        <v>0.21590293089128479</v>
      </c>
      <c r="G65" s="2" t="s">
        <v>143</v>
      </c>
      <c r="H65">
        <v>2657</v>
      </c>
      <c r="I65">
        <v>10</v>
      </c>
      <c r="J65">
        <f>IF(H65=0,0,(H65-$J$54)/$I$54)*I65</f>
        <v>422.35499635905978</v>
      </c>
      <c r="K65">
        <f t="shared" ref="K65" si="96">1.51*J65/1000</f>
        <v>0.63775604450218026</v>
      </c>
      <c r="L65">
        <f t="shared" ref="L65" si="97">J65*0.49/1000</f>
        <v>0.20695394821593927</v>
      </c>
    </row>
    <row r="66" spans="1:12" x14ac:dyDescent="0.25">
      <c r="A66" s="2" t="s">
        <v>144</v>
      </c>
      <c r="B66">
        <v>1234</v>
      </c>
      <c r="C66">
        <v>10</v>
      </c>
      <c r="D66">
        <f>IF(B66=0,0,(B66-$J$55)/$I$55)*C66</f>
        <v>173.31121886905936</v>
      </c>
      <c r="E66">
        <f t="shared" ref="E66:E67" si="98">1.82*D66/1000</f>
        <v>0.315426418341688</v>
      </c>
      <c r="F66">
        <f t="shared" ref="F66:F67" si="99">D66*0.54/1000</f>
        <v>9.3588058189292056E-2</v>
      </c>
      <c r="G66" s="2" t="s">
        <v>144</v>
      </c>
      <c r="H66">
        <v>1233</v>
      </c>
      <c r="I66">
        <v>10</v>
      </c>
      <c r="J66">
        <f>IF(H66=0,0,(H66-$J$55)/$I$55)*I66</f>
        <v>173.17683844836242</v>
      </c>
      <c r="K66">
        <f t="shared" ref="K66:K67" si="100">1.82*J66/1000</f>
        <v>0.31518184597601961</v>
      </c>
      <c r="L66">
        <f t="shared" ref="L66:L67" si="101">J66*0.54/1000</f>
        <v>9.3515492762115709E-2</v>
      </c>
    </row>
    <row r="67" spans="1:12" x14ac:dyDescent="0.25">
      <c r="A67" s="2" t="s">
        <v>145</v>
      </c>
      <c r="B67">
        <v>1431</v>
      </c>
      <c r="C67">
        <v>10</v>
      </c>
      <c r="D67">
        <f>IF(B67=0,0,(B67-$J$56)/$I$56)*C67</f>
        <v>185.33458047962444</v>
      </c>
      <c r="E67">
        <f t="shared" si="98"/>
        <v>0.33730893647291643</v>
      </c>
      <c r="F67">
        <f t="shared" si="99"/>
        <v>0.1000806734589972</v>
      </c>
      <c r="G67" s="2" t="s">
        <v>145</v>
      </c>
      <c r="H67">
        <v>1493</v>
      </c>
      <c r="I67">
        <v>10</v>
      </c>
      <c r="J67">
        <f>IF(H67=0,0,(H67-$J$56)/$I$56)*I67</f>
        <v>192.55270577147442</v>
      </c>
      <c r="K67">
        <f t="shared" si="100"/>
        <v>0.35044592450408346</v>
      </c>
      <c r="L67">
        <f t="shared" si="101"/>
        <v>0.1039784611165962</v>
      </c>
    </row>
    <row r="68" spans="1:12" x14ac:dyDescent="0.25">
      <c r="A68" s="2" t="s">
        <v>146</v>
      </c>
      <c r="B68">
        <v>2195</v>
      </c>
      <c r="C68">
        <v>10</v>
      </c>
      <c r="D68">
        <f>IF(B68=0,0,(B68-$J$57)/$I$57)*C68</f>
        <v>258.02580752633338</v>
      </c>
      <c r="E68">
        <f t="shared" ref="E68:E69" si="102">2.04*D68/1000</f>
        <v>0.52637264735372014</v>
      </c>
      <c r="F68">
        <f t="shared" ref="F68:F69" si="103">D68*0.59/1000</f>
        <v>0.15223522644053669</v>
      </c>
      <c r="G68" s="2" t="s">
        <v>146</v>
      </c>
      <c r="H68">
        <v>2226</v>
      </c>
      <c r="I68">
        <v>10</v>
      </c>
      <c r="J68">
        <f>IF(H68=0,0,(H68-$J$57)/$I$57)*I68</f>
        <v>261.45308750156204</v>
      </c>
      <c r="K68">
        <f t="shared" ref="K68:K69" si="104">2.04*J68/1000</f>
        <v>0.53336429850318656</v>
      </c>
      <c r="L68">
        <f t="shared" ref="L68:L69" si="105">J68*0.59/1000</f>
        <v>0.1542573216259216</v>
      </c>
    </row>
    <row r="69" spans="1:12" x14ac:dyDescent="0.25">
      <c r="A69" s="2" t="s">
        <v>147</v>
      </c>
      <c r="B69">
        <v>101</v>
      </c>
      <c r="C69">
        <v>10</v>
      </c>
      <c r="D69">
        <f>IF(B69=0,0,(B69-$J$58)/$I$58)*C69</f>
        <v>16.759925636230737</v>
      </c>
      <c r="E69">
        <f t="shared" si="102"/>
        <v>3.4190248297910709E-2</v>
      </c>
      <c r="F69">
        <f t="shared" si="103"/>
        <v>9.888356125376134E-3</v>
      </c>
      <c r="G69" s="2" t="s">
        <v>147</v>
      </c>
      <c r="H69">
        <v>0</v>
      </c>
      <c r="I69">
        <v>10</v>
      </c>
      <c r="J69">
        <f>IF(H69=0,0,(H69-$J$58)/$I$58)*I69</f>
        <v>0</v>
      </c>
      <c r="K69">
        <f t="shared" si="104"/>
        <v>0</v>
      </c>
      <c r="L69">
        <f t="shared" si="105"/>
        <v>0</v>
      </c>
    </row>
    <row r="70" spans="1:12" x14ac:dyDescent="0.25">
      <c r="A70" s="2" t="s">
        <v>148</v>
      </c>
      <c r="B70">
        <v>835</v>
      </c>
      <c r="C70">
        <v>10</v>
      </c>
      <c r="D70">
        <f>IF(B70=0,0,(B70-$J$59)/$I$59)*C70</f>
        <v>95.053834347679839</v>
      </c>
      <c r="E70">
        <f t="shared" ref="E70" si="106">2.21*D70/1000</f>
        <v>0.21006897390837245</v>
      </c>
      <c r="F70">
        <f t="shared" ref="F70" si="107">D70*0.62/1000</f>
        <v>5.8933377295561501E-2</v>
      </c>
      <c r="G70" s="2" t="s">
        <v>148</v>
      </c>
      <c r="H70">
        <v>744</v>
      </c>
      <c r="I70">
        <v>10</v>
      </c>
      <c r="J70">
        <f>IF(H70=0,0,(H70-$J$59)/$I$59)*I70</f>
        <v>85.880963147610572</v>
      </c>
      <c r="K70">
        <f t="shared" ref="K70" si="108">2.21*J70/1000</f>
        <v>0.18979692855621938</v>
      </c>
      <c r="L70">
        <f t="shared" ref="L70" si="109">J70*0.62/1000</f>
        <v>5.324619715151855E-2</v>
      </c>
    </row>
    <row r="71" spans="1:12" x14ac:dyDescent="0.25">
      <c r="A71" s="2" t="s">
        <v>149</v>
      </c>
      <c r="B71">
        <v>435</v>
      </c>
      <c r="C71">
        <v>10</v>
      </c>
      <c r="D71">
        <f>IF(B71=0,0,(B71-$J$60)/$I$60)*C71</f>
        <v>72.060837541026658</v>
      </c>
      <c r="E71">
        <f t="shared" ref="E71" si="110">2.34*D71/1000</f>
        <v>0.16862235984600238</v>
      </c>
      <c r="F71">
        <f t="shared" ref="F71" si="111">D71*0.65/1000</f>
        <v>4.6839544401667335E-2</v>
      </c>
      <c r="G71" s="2" t="s">
        <v>149</v>
      </c>
      <c r="H71">
        <v>287</v>
      </c>
      <c r="I71">
        <v>10</v>
      </c>
      <c r="J71">
        <f>IF(H71=0,0,(H71-$J$60)/$I$60)*I71</f>
        <v>57.817680751872409</v>
      </c>
      <c r="K71">
        <f t="shared" ref="K71" si="112">2.34*J71/1000</f>
        <v>0.13529337295938143</v>
      </c>
      <c r="L71">
        <f t="shared" ref="L71" si="113">J71*0.65/1000</f>
        <v>3.7581492488717068E-2</v>
      </c>
    </row>
    <row r="72" spans="1:12" x14ac:dyDescent="0.25">
      <c r="B72" s="2" t="s">
        <v>171</v>
      </c>
      <c r="C72" s="2"/>
      <c r="D72" s="2">
        <f t="shared" ref="D72:F72" si="114">SUM(D64:D71)</f>
        <v>4063.2892091365643</v>
      </c>
      <c r="E72" s="2">
        <f t="shared" si="114"/>
        <v>5.2769966188646311</v>
      </c>
      <c r="F72" s="2">
        <f t="shared" si="114"/>
        <v>1.8063180781738621</v>
      </c>
      <c r="H72" s="2" t="s">
        <v>171</v>
      </c>
      <c r="I72" s="2"/>
      <c r="J72" s="2">
        <f t="shared" ref="J72:L72" si="115">SUM(J64:J71)</f>
        <v>3940.7931796463181</v>
      </c>
      <c r="K72" s="2">
        <f t="shared" si="115"/>
        <v>5.1017243062040931</v>
      </c>
      <c r="L72" s="2">
        <f t="shared" si="115"/>
        <v>1.7485556764273587</v>
      </c>
    </row>
    <row r="74" spans="1:12" x14ac:dyDescent="0.25">
      <c r="A74" s="2" t="s">
        <v>165</v>
      </c>
      <c r="B74" s="2" t="s">
        <v>69</v>
      </c>
      <c r="C74" s="2"/>
      <c r="G74" s="2" t="s">
        <v>165</v>
      </c>
      <c r="H74" s="2" t="s">
        <v>70</v>
      </c>
      <c r="I74" s="2"/>
      <c r="L74" s="2"/>
    </row>
    <row r="75" spans="1:12" x14ac:dyDescent="0.25">
      <c r="A75" s="2" t="s">
        <v>160</v>
      </c>
      <c r="B75" s="2" t="s">
        <v>166</v>
      </c>
      <c r="C75" s="2" t="s">
        <v>167</v>
      </c>
      <c r="D75" s="2" t="s">
        <v>168</v>
      </c>
      <c r="E75" s="2" t="s">
        <v>169</v>
      </c>
      <c r="F75" s="2" t="s">
        <v>170</v>
      </c>
      <c r="G75" s="2" t="s">
        <v>160</v>
      </c>
      <c r="H75" s="2" t="s">
        <v>166</v>
      </c>
      <c r="I75" s="2" t="s">
        <v>167</v>
      </c>
      <c r="J75" s="2" t="s">
        <v>168</v>
      </c>
      <c r="K75" s="2" t="s">
        <v>169</v>
      </c>
      <c r="L75" s="2" t="s">
        <v>170</v>
      </c>
    </row>
    <row r="76" spans="1:12" x14ac:dyDescent="0.25">
      <c r="A76" s="2" t="s">
        <v>142</v>
      </c>
      <c r="B76">
        <v>15272</v>
      </c>
      <c r="C76">
        <v>10</v>
      </c>
      <c r="D76">
        <f>IF(B76=0,0,(B76-$J$53)/$I$53)*C76</f>
        <v>3926.0367620721963</v>
      </c>
      <c r="E76">
        <f t="shared" ref="E76" si="116">1.07*D76/1000</f>
        <v>4.2008593354172499</v>
      </c>
      <c r="F76">
        <f t="shared" ref="F76" si="117">D76*0.4/1000</f>
        <v>1.5704147048288788</v>
      </c>
      <c r="G76" s="2" t="s">
        <v>142</v>
      </c>
      <c r="H76">
        <v>14247</v>
      </c>
      <c r="I76">
        <v>10</v>
      </c>
      <c r="J76">
        <f>IF(H76=0,0,(H76-$J$53)/$I$53)*I76</f>
        <v>3663.3836090463283</v>
      </c>
      <c r="K76">
        <f t="shared" ref="K76" si="118">1.07*J76/1000</f>
        <v>3.9198204616795715</v>
      </c>
      <c r="L76">
        <f t="shared" ref="L76" si="119">J76*0.4/1000</f>
        <v>1.4653534436185314</v>
      </c>
    </row>
    <row r="77" spans="1:12" x14ac:dyDescent="0.25">
      <c r="A77" s="2" t="s">
        <v>143</v>
      </c>
      <c r="B77">
        <v>12710</v>
      </c>
      <c r="C77">
        <v>10</v>
      </c>
      <c r="D77">
        <f>IF(B77=0,0,(B77-$J$54)/$I$54)*C77</f>
        <v>2005.1157781192362</v>
      </c>
      <c r="E77">
        <f t="shared" ref="E77" si="120">1.51*D77/1000</f>
        <v>3.0277248249600466</v>
      </c>
      <c r="F77">
        <f t="shared" ref="F77" si="121">D77*0.49/1000</f>
        <v>0.98250673127842569</v>
      </c>
      <c r="G77" s="2" t="s">
        <v>143</v>
      </c>
      <c r="H77">
        <v>11248</v>
      </c>
      <c r="I77">
        <v>10</v>
      </c>
      <c r="J77">
        <f>IF(H77=0,0,(H77-$J$54)/$I$54)*I77</f>
        <v>1774.9361040982099</v>
      </c>
      <c r="K77">
        <f t="shared" ref="K77" si="122">1.51*J77/1000</f>
        <v>2.6801535171882969</v>
      </c>
      <c r="L77">
        <f t="shared" ref="L77" si="123">J77*0.49/1000</f>
        <v>0.86971869100812282</v>
      </c>
    </row>
    <row r="78" spans="1:12" x14ac:dyDescent="0.25">
      <c r="A78" s="2" t="s">
        <v>144</v>
      </c>
      <c r="B78">
        <v>584</v>
      </c>
      <c r="C78">
        <v>10</v>
      </c>
      <c r="D78">
        <f>IF(B78=0,0,(B78-$J$55)/$I$55)*C78</f>
        <v>85.963945416047167</v>
      </c>
      <c r="E78">
        <f t="shared" ref="E78:E79" si="124">1.82*D78/1000</f>
        <v>0.15645438065720585</v>
      </c>
      <c r="F78">
        <f t="shared" ref="F78:F79" si="125">D78*0.54/1000</f>
        <v>4.6420530524665472E-2</v>
      </c>
      <c r="G78" s="2" t="s">
        <v>144</v>
      </c>
      <c r="H78">
        <v>624</v>
      </c>
      <c r="I78">
        <v>10</v>
      </c>
      <c r="J78">
        <f>IF(H78=0,0,(H78-$J$55)/$I$55)*I78</f>
        <v>91.339162243924847</v>
      </c>
      <c r="K78">
        <f t="shared" ref="K78:K79" si="126">1.82*J78/1000</f>
        <v>0.16623727528394322</v>
      </c>
      <c r="L78">
        <f t="shared" ref="L78:L79" si="127">J78*0.54/1000</f>
        <v>4.9323147611719423E-2</v>
      </c>
    </row>
    <row r="79" spans="1:12" x14ac:dyDescent="0.25">
      <c r="A79" s="2" t="s">
        <v>145</v>
      </c>
      <c r="B79">
        <v>7717</v>
      </c>
      <c r="C79">
        <v>10</v>
      </c>
      <c r="D79">
        <f>IF(B79=0,0,(B79-$J$56)/$I$56)*C79</f>
        <v>917.15934797267164</v>
      </c>
      <c r="E79">
        <f t="shared" si="124"/>
        <v>1.6692300133102624</v>
      </c>
      <c r="F79">
        <f t="shared" si="125"/>
        <v>0.4952660479052427</v>
      </c>
      <c r="G79" s="2" t="s">
        <v>145</v>
      </c>
      <c r="H79">
        <v>10369</v>
      </c>
      <c r="I79">
        <v>10</v>
      </c>
      <c r="J79">
        <f>IF(H79=0,0,(H79-$J$56)/$I$56)*I79</f>
        <v>1225.9088362627704</v>
      </c>
      <c r="K79">
        <f t="shared" si="126"/>
        <v>2.2311540819982421</v>
      </c>
      <c r="L79">
        <f t="shared" si="127"/>
        <v>0.66199077158189612</v>
      </c>
    </row>
    <row r="80" spans="1:12" x14ac:dyDescent="0.25">
      <c r="A80" s="2" t="s">
        <v>146</v>
      </c>
      <c r="B80">
        <v>777</v>
      </c>
      <c r="C80">
        <v>10</v>
      </c>
      <c r="D80">
        <f>IF(B80=0,0,(B80-$J$57)/$I$57)*C80</f>
        <v>101.25538801426157</v>
      </c>
      <c r="E80">
        <f t="shared" ref="E80:E81" si="128">2.04*D80/1000</f>
        <v>0.2065609915490936</v>
      </c>
      <c r="F80">
        <f t="shared" ref="F80:F81" si="129">D80*0.59/1000</f>
        <v>5.9740678928414323E-2</v>
      </c>
      <c r="G80" s="2" t="s">
        <v>146</v>
      </c>
      <c r="H80">
        <v>847</v>
      </c>
      <c r="I80">
        <v>10</v>
      </c>
      <c r="J80">
        <f>IF(H80=0,0,(H80-$J$57)/$I$57)*I80</f>
        <v>108.99440731316497</v>
      </c>
      <c r="K80">
        <f t="shared" ref="K80:K81" si="130">2.04*J80/1000</f>
        <v>0.22234859091885653</v>
      </c>
      <c r="L80">
        <f t="shared" ref="L80:L81" si="131">J80*0.59/1000</f>
        <v>6.4306700314767332E-2</v>
      </c>
    </row>
    <row r="81" spans="1:12" x14ac:dyDescent="0.25">
      <c r="A81" s="2" t="s">
        <v>147</v>
      </c>
      <c r="B81">
        <v>626</v>
      </c>
      <c r="C81">
        <v>10</v>
      </c>
      <c r="D81">
        <f>IF(B81=0,0,(B81-$J$58)/$I$58)*C81</f>
        <v>71.328008038651703</v>
      </c>
      <c r="E81">
        <f t="shared" si="128"/>
        <v>0.14550913639884946</v>
      </c>
      <c r="F81">
        <f t="shared" si="129"/>
        <v>4.2083524742804503E-2</v>
      </c>
      <c r="G81" s="2" t="s">
        <v>147</v>
      </c>
      <c r="H81">
        <v>854</v>
      </c>
      <c r="I81">
        <v>10</v>
      </c>
      <c r="J81">
        <f>IF(H81=0,0,(H81-$J$58)/$I$58)*I81</f>
        <v>95.026146681988806</v>
      </c>
      <c r="K81">
        <f t="shared" si="130"/>
        <v>0.19385333923125717</v>
      </c>
      <c r="L81">
        <f t="shared" si="131"/>
        <v>5.6065426542373398E-2</v>
      </c>
    </row>
    <row r="82" spans="1:12" x14ac:dyDescent="0.25">
      <c r="A82" s="2" t="s">
        <v>148</v>
      </c>
      <c r="B82">
        <v>639</v>
      </c>
      <c r="C82">
        <v>10</v>
      </c>
      <c r="D82">
        <f>IF(B82=0,0,(B82-$J$59)/$I$59)*C82</f>
        <v>75.296880993684482</v>
      </c>
      <c r="E82">
        <f t="shared" ref="E82" si="132">2.21*D82/1000</f>
        <v>0.16640610699604269</v>
      </c>
      <c r="F82">
        <f t="shared" ref="F82" si="133">D82*0.62/1000</f>
        <v>4.6684066216084383E-2</v>
      </c>
      <c r="G82" s="2" t="s">
        <v>148</v>
      </c>
      <c r="H82">
        <v>656</v>
      </c>
      <c r="I82">
        <v>10</v>
      </c>
      <c r="J82">
        <f>IF(H82=0,0,(H82-$J$59)/$I$59)*I82</f>
        <v>77.010494294796317</v>
      </c>
      <c r="K82">
        <f t="shared" ref="K82" si="134">2.21*J82/1000</f>
        <v>0.17019319239149985</v>
      </c>
      <c r="L82">
        <f t="shared" ref="L82" si="135">J82*0.62/1000</f>
        <v>4.7746506462773716E-2</v>
      </c>
    </row>
    <row r="83" spans="1:12" x14ac:dyDescent="0.25">
      <c r="A83" s="2" t="s">
        <v>149</v>
      </c>
      <c r="B83">
        <v>0</v>
      </c>
      <c r="C83">
        <v>10</v>
      </c>
      <c r="D83">
        <f>IF(B83=0,0,(B83-$J$60)/$I$60)*C83</f>
        <v>0</v>
      </c>
      <c r="E83">
        <f t="shared" ref="E83" si="136">2.34*D83/1000</f>
        <v>0</v>
      </c>
      <c r="F83">
        <f t="shared" ref="F83" si="137">D83*0.65/1000</f>
        <v>0</v>
      </c>
      <c r="G83" s="2" t="s">
        <v>149</v>
      </c>
      <c r="H83">
        <v>0</v>
      </c>
      <c r="I83">
        <v>10</v>
      </c>
      <c r="J83">
        <f>IF(H83=0,0,(H83-$J$60)/$I$60)*I83</f>
        <v>0</v>
      </c>
      <c r="K83">
        <f t="shared" ref="K83" si="138">2.34*J83/1000</f>
        <v>0</v>
      </c>
      <c r="L83">
        <f t="shared" ref="L83" si="139">J83*0.65/1000</f>
        <v>0</v>
      </c>
    </row>
    <row r="84" spans="1:12" x14ac:dyDescent="0.25">
      <c r="B84" s="2" t="s">
        <v>171</v>
      </c>
      <c r="C84" s="2"/>
      <c r="D84" s="2">
        <f t="shared" ref="D84:F84" si="140">SUM(D76:D83)</f>
        <v>7182.1561106267491</v>
      </c>
      <c r="E84" s="2">
        <f t="shared" si="140"/>
        <v>9.5727447892887501</v>
      </c>
      <c r="F84" s="2">
        <f t="shared" si="140"/>
        <v>3.2431162844245165</v>
      </c>
      <c r="H84" s="2" t="s">
        <v>171</v>
      </c>
      <c r="I84" s="2"/>
      <c r="J84" s="2">
        <f t="shared" ref="J84:L84" si="141">SUM(J76:J83)</f>
        <v>7036.5987599411819</v>
      </c>
      <c r="K84" s="2">
        <f t="shared" si="141"/>
        <v>9.5837604586916676</v>
      </c>
      <c r="L84" s="2">
        <f t="shared" si="141"/>
        <v>3.2145046871401837</v>
      </c>
    </row>
    <row r="86" spans="1:12" x14ac:dyDescent="0.25">
      <c r="A86" s="2" t="s">
        <v>165</v>
      </c>
      <c r="B86" s="2" t="s">
        <v>72</v>
      </c>
      <c r="C86" s="2"/>
      <c r="G86" s="2" t="s">
        <v>165</v>
      </c>
      <c r="H86" s="2" t="s">
        <v>73</v>
      </c>
      <c r="I86" s="2"/>
      <c r="L86" s="2"/>
    </row>
    <row r="87" spans="1:12" x14ac:dyDescent="0.25">
      <c r="A87" s="2" t="s">
        <v>160</v>
      </c>
      <c r="B87" s="2" t="s">
        <v>166</v>
      </c>
      <c r="C87" s="2" t="s">
        <v>167</v>
      </c>
      <c r="D87" s="2" t="s">
        <v>168</v>
      </c>
      <c r="E87" s="2" t="s">
        <v>169</v>
      </c>
      <c r="F87" s="2" t="s">
        <v>170</v>
      </c>
      <c r="G87" s="2" t="s">
        <v>160</v>
      </c>
      <c r="H87" s="2" t="s">
        <v>166</v>
      </c>
      <c r="I87" s="2" t="s">
        <v>167</v>
      </c>
      <c r="J87" s="2" t="s">
        <v>168</v>
      </c>
      <c r="K87" s="2" t="s">
        <v>169</v>
      </c>
      <c r="L87" s="2" t="s">
        <v>170</v>
      </c>
    </row>
    <row r="88" spans="1:12" x14ac:dyDescent="0.25">
      <c r="A88" s="2" t="s">
        <v>142</v>
      </c>
      <c r="B88">
        <v>12199</v>
      </c>
      <c r="C88">
        <v>10</v>
      </c>
      <c r="D88">
        <f>IF(B88=0,0,(B88-$J$53)/$I$53)*C88</f>
        <v>3138.5897969517164</v>
      </c>
      <c r="E88">
        <f t="shared" ref="E88" si="142">1.07*D88/1000</f>
        <v>3.3582910827383365</v>
      </c>
      <c r="F88">
        <f t="shared" ref="F88" si="143">D88*0.4/1000</f>
        <v>1.2554359187806867</v>
      </c>
      <c r="G88" s="2" t="s">
        <v>142</v>
      </c>
      <c r="H88">
        <v>13357</v>
      </c>
      <c r="I88">
        <v>10</v>
      </c>
      <c r="J88">
        <f>IF(H88=0,0,(H88-$J$53)/$I$53)*I88</f>
        <v>3435.3237981263064</v>
      </c>
      <c r="K88">
        <f t="shared" ref="K88" si="144">1.07*J88/1000</f>
        <v>3.6757964639951481</v>
      </c>
      <c r="L88">
        <f t="shared" ref="L88" si="145">J88*0.4/1000</f>
        <v>1.3741295192505227</v>
      </c>
    </row>
    <row r="89" spans="1:12" x14ac:dyDescent="0.25">
      <c r="A89" s="2" t="s">
        <v>143</v>
      </c>
      <c r="B89">
        <v>7214</v>
      </c>
      <c r="C89">
        <v>10</v>
      </c>
      <c r="D89">
        <f>IF(B89=0,0,(B89-$J$54)/$I$54)*C89</f>
        <v>1139.8165384341742</v>
      </c>
      <c r="E89">
        <f t="shared" ref="E89" si="146">1.51*D89/1000</f>
        <v>1.721122973035603</v>
      </c>
      <c r="F89">
        <f t="shared" ref="F89" si="147">D89*0.49/1000</f>
        <v>0.55851010383274535</v>
      </c>
      <c r="G89" s="2" t="s">
        <v>143</v>
      </c>
      <c r="H89">
        <v>7709</v>
      </c>
      <c r="I89">
        <v>10</v>
      </c>
      <c r="J89">
        <f>IF(H89=0,0,(H89-$J$54)/$I$54)*I89</f>
        <v>1217.7501489953286</v>
      </c>
      <c r="K89">
        <f t="shared" ref="K89" si="148">1.51*J89/1000</f>
        <v>1.8388027249829462</v>
      </c>
      <c r="L89">
        <f t="shared" ref="L89" si="149">J89*0.49/1000</f>
        <v>0.59669757300771098</v>
      </c>
    </row>
    <row r="90" spans="1:12" x14ac:dyDescent="0.25">
      <c r="A90" s="2" t="s">
        <v>144</v>
      </c>
      <c r="B90">
        <v>475</v>
      </c>
      <c r="C90">
        <v>10</v>
      </c>
      <c r="D90">
        <f>IF(B90=0,0,(B90-$J$55)/$I$55)*C90</f>
        <v>71.316479560080509</v>
      </c>
      <c r="E90">
        <f t="shared" ref="E90:E91" si="150">1.82*D90/1000</f>
        <v>0.12979599279934653</v>
      </c>
      <c r="F90">
        <f t="shared" ref="F90:F91" si="151">D90*0.54/1000</f>
        <v>3.8510898962443474E-2</v>
      </c>
      <c r="G90" s="2" t="s">
        <v>144</v>
      </c>
      <c r="H90">
        <v>491</v>
      </c>
      <c r="I90">
        <v>10</v>
      </c>
      <c r="J90">
        <f>IF(H90=0,0,(H90-$J$55)/$I$55)*I90</f>
        <v>73.466566291231587</v>
      </c>
      <c r="K90">
        <f t="shared" ref="K90:K91" si="152">1.82*J90/1000</f>
        <v>0.13370915065004149</v>
      </c>
      <c r="L90">
        <f t="shared" ref="L90:L91" si="153">J90*0.54/1000</f>
        <v>3.967194579726506E-2</v>
      </c>
    </row>
    <row r="91" spans="1:12" x14ac:dyDescent="0.25">
      <c r="A91" s="2" t="s">
        <v>145</v>
      </c>
      <c r="B91">
        <v>14459</v>
      </c>
      <c r="C91">
        <v>10</v>
      </c>
      <c r="D91">
        <f>IF(B91=0,0,(B91-$J$56)/$I$56)*C91</f>
        <v>1702.0722627735188</v>
      </c>
      <c r="E91">
        <f t="shared" si="150"/>
        <v>3.0977715182478041</v>
      </c>
      <c r="F91">
        <f t="shared" si="151"/>
        <v>0.91911902189770023</v>
      </c>
      <c r="G91" s="2" t="s">
        <v>145</v>
      </c>
      <c r="H91">
        <v>14400</v>
      </c>
      <c r="I91">
        <v>10</v>
      </c>
      <c r="J91">
        <f>IF(H91=0,0,(H91-$J$56)/$I$56)*I91</f>
        <v>1695.2034016086939</v>
      </c>
      <c r="K91">
        <f t="shared" si="152"/>
        <v>3.0852701909278228</v>
      </c>
      <c r="L91">
        <f t="shared" si="153"/>
        <v>0.9154098368686947</v>
      </c>
    </row>
    <row r="92" spans="1:12" x14ac:dyDescent="0.25">
      <c r="A92" s="2" t="s">
        <v>146</v>
      </c>
      <c r="B92">
        <v>558</v>
      </c>
      <c r="C92">
        <v>10</v>
      </c>
      <c r="D92">
        <f>IF(B92=0,0,(B92-$J$57)/$I$57)*C92</f>
        <v>77.043313350549482</v>
      </c>
      <c r="E92">
        <f t="shared" ref="E92:E93" si="154">2.04*D92/1000</f>
        <v>0.15716835923512096</v>
      </c>
      <c r="F92">
        <f t="shared" ref="F92:F93" si="155">D92*0.59/1000</f>
        <v>4.5455554876824192E-2</v>
      </c>
      <c r="G92" s="2" t="s">
        <v>146</v>
      </c>
      <c r="H92">
        <v>598</v>
      </c>
      <c r="I92">
        <v>10</v>
      </c>
      <c r="J92">
        <f>IF(H92=0,0,(H92-$J$57)/$I$57)*I92</f>
        <v>81.465610092780011</v>
      </c>
      <c r="K92">
        <f t="shared" ref="K92:K93" si="156">2.04*J92/1000</f>
        <v>0.16618984458927122</v>
      </c>
      <c r="L92">
        <f t="shared" ref="L92:L93" si="157">J92*0.59/1000</f>
        <v>4.8064709954740201E-2</v>
      </c>
    </row>
    <row r="93" spans="1:12" x14ac:dyDescent="0.25">
      <c r="A93" s="2" t="s">
        <v>147</v>
      </c>
      <c r="B93">
        <v>1957</v>
      </c>
      <c r="C93">
        <v>10</v>
      </c>
      <c r="D93">
        <f>IF(B93=0,0,(B93-$J$58)/$I$58)*C93</f>
        <v>209.67108932936085</v>
      </c>
      <c r="E93">
        <f t="shared" si="154"/>
        <v>0.42772902223189613</v>
      </c>
      <c r="F93">
        <f t="shared" si="155"/>
        <v>0.12370594270432289</v>
      </c>
      <c r="G93" s="2" t="s">
        <v>147</v>
      </c>
      <c r="H93">
        <v>2083</v>
      </c>
      <c r="I93">
        <v>10</v>
      </c>
      <c r="J93">
        <f>IF(H93=0,0,(H93-$J$58)/$I$58)*I93</f>
        <v>222.76742910594186</v>
      </c>
      <c r="K93">
        <f t="shared" si="156"/>
        <v>0.45444555537612136</v>
      </c>
      <c r="L93">
        <f t="shared" si="157"/>
        <v>0.13143278317250567</v>
      </c>
    </row>
    <row r="94" spans="1:12" x14ac:dyDescent="0.25">
      <c r="A94" s="2" t="s">
        <v>148</v>
      </c>
      <c r="B94">
        <v>2419</v>
      </c>
      <c r="C94">
        <v>10</v>
      </c>
      <c r="D94">
        <f>IF(B94=0,0,(B94-$J$59)/$I$59)*C94</f>
        <v>254.7222736983361</v>
      </c>
      <c r="E94">
        <f t="shared" ref="E94" si="158">2.21*D94/1000</f>
        <v>0.56293622487332273</v>
      </c>
      <c r="F94">
        <f t="shared" ref="F94" si="159">D94*0.62/1000</f>
        <v>0.15792780969296838</v>
      </c>
      <c r="G94" s="2" t="s">
        <v>148</v>
      </c>
      <c r="H94">
        <v>2597</v>
      </c>
      <c r="I94">
        <v>10</v>
      </c>
      <c r="J94">
        <f>IF(H94=0,0,(H94-$J$59)/$I$59)*I94</f>
        <v>272.66481296880124</v>
      </c>
      <c r="K94">
        <f t="shared" ref="K94" si="160">2.21*J94/1000</f>
        <v>0.6025892366610508</v>
      </c>
      <c r="L94">
        <f t="shared" ref="L94" si="161">J94*0.62/1000</f>
        <v>0.16905218404065678</v>
      </c>
    </row>
    <row r="95" spans="1:12" x14ac:dyDescent="0.25">
      <c r="A95" s="2" t="s">
        <v>149</v>
      </c>
      <c r="B95">
        <v>239</v>
      </c>
      <c r="C95">
        <v>10</v>
      </c>
      <c r="D95">
        <f>IF(B95=0,0,(B95-$J$60)/$I$60)*C95</f>
        <v>53.198278549984551</v>
      </c>
      <c r="E95">
        <f t="shared" ref="E95" si="162">2.34*D95/1000</f>
        <v>0.12448397180696384</v>
      </c>
      <c r="F95">
        <f t="shared" ref="F95" si="163">D95*0.65/1000</f>
        <v>3.4578881057489956E-2</v>
      </c>
      <c r="G95" s="2" t="s">
        <v>149</v>
      </c>
      <c r="H95">
        <v>235</v>
      </c>
      <c r="I95">
        <v>10</v>
      </c>
      <c r="J95">
        <f>IF(H95=0,0,(H95-$J$60)/$I$60)*I95</f>
        <v>52.813328366493899</v>
      </c>
      <c r="K95">
        <f t="shared" ref="K95" si="164">2.34*J95/1000</f>
        <v>0.12358318837759572</v>
      </c>
      <c r="L95">
        <f t="shared" ref="L95" si="165">J95*0.65/1000</f>
        <v>3.4328663438221038E-2</v>
      </c>
    </row>
    <row r="96" spans="1:12" x14ac:dyDescent="0.25">
      <c r="B96" s="2" t="s">
        <v>171</v>
      </c>
      <c r="C96" s="2"/>
      <c r="D96" s="2">
        <f t="shared" ref="D96:F96" si="166">SUM(D88:D95)</f>
        <v>6646.4300326477214</v>
      </c>
      <c r="E96" s="2">
        <f t="shared" si="166"/>
        <v>9.5792991449683917</v>
      </c>
      <c r="F96" s="2">
        <f t="shared" si="166"/>
        <v>3.1332441318051805</v>
      </c>
      <c r="H96" s="2" t="s">
        <v>171</v>
      </c>
      <c r="I96" s="2"/>
      <c r="J96" s="2">
        <f t="shared" ref="J96:L96" si="167">SUM(J88:J95)</f>
        <v>7051.455095555576</v>
      </c>
      <c r="K96" s="2">
        <f t="shared" si="167"/>
        <v>10.080386355559996</v>
      </c>
      <c r="L96" s="2">
        <f t="shared" si="167"/>
        <v>3.3087872155303173</v>
      </c>
    </row>
    <row r="98" spans="1:12" x14ac:dyDescent="0.25">
      <c r="A98" s="2"/>
      <c r="B98" s="2"/>
      <c r="C98" s="2"/>
      <c r="G98" s="2"/>
      <c r="H98" s="2"/>
      <c r="I98" s="2"/>
      <c r="L98" s="2"/>
    </row>
    <row r="99" spans="1:12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 x14ac:dyDescent="0.25">
      <c r="A100" s="2"/>
      <c r="G100" s="2"/>
    </row>
    <row r="101" spans="1:12" x14ac:dyDescent="0.25">
      <c r="A101" s="2"/>
      <c r="G101" s="2"/>
    </row>
    <row r="102" spans="1:12" x14ac:dyDescent="0.25">
      <c r="A102" s="2"/>
      <c r="G102" s="2"/>
    </row>
    <row r="103" spans="1:12" x14ac:dyDescent="0.25">
      <c r="A103" s="2"/>
      <c r="G103" s="2"/>
    </row>
    <row r="104" spans="1:12" x14ac:dyDescent="0.25">
      <c r="A104" s="2"/>
      <c r="G104" s="2"/>
    </row>
    <row r="105" spans="1:12" x14ac:dyDescent="0.25">
      <c r="A105" s="2"/>
      <c r="G105" s="2"/>
    </row>
    <row r="106" spans="1:12" x14ac:dyDescent="0.25">
      <c r="A106" s="2"/>
      <c r="G106" s="2"/>
    </row>
    <row r="107" spans="1:12" x14ac:dyDescent="0.25">
      <c r="A107" s="2"/>
      <c r="G107" s="2"/>
    </row>
    <row r="108" spans="1:12" x14ac:dyDescent="0.25">
      <c r="B108" s="2"/>
      <c r="C108" s="2"/>
      <c r="D108" s="2"/>
      <c r="E108" s="2"/>
      <c r="F108" s="2"/>
      <c r="H108" s="2"/>
      <c r="I108" s="2"/>
      <c r="J108" s="2"/>
      <c r="K108" s="2"/>
      <c r="L108" s="2"/>
    </row>
    <row r="110" spans="1:12" x14ac:dyDescent="0.25">
      <c r="A110" s="2"/>
      <c r="B110" s="2"/>
      <c r="C110" s="2"/>
      <c r="G110" s="2"/>
      <c r="H110" s="2"/>
      <c r="I110" s="2"/>
      <c r="L110" s="2"/>
    </row>
    <row r="111" spans="1:12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 x14ac:dyDescent="0.25">
      <c r="A112" s="2"/>
      <c r="G112" s="2"/>
    </row>
    <row r="113" spans="1:12" x14ac:dyDescent="0.25">
      <c r="A113" s="2"/>
      <c r="G113" s="2"/>
    </row>
    <row r="114" spans="1:12" x14ac:dyDescent="0.25">
      <c r="A114" s="2"/>
      <c r="G114" s="2"/>
    </row>
    <row r="115" spans="1:12" x14ac:dyDescent="0.25">
      <c r="A115" s="2"/>
      <c r="G115" s="2"/>
    </row>
    <row r="116" spans="1:12" x14ac:dyDescent="0.25">
      <c r="A116" s="2"/>
      <c r="G116" s="2"/>
    </row>
    <row r="117" spans="1:12" x14ac:dyDescent="0.25">
      <c r="A117" s="2"/>
      <c r="G117" s="2"/>
    </row>
    <row r="118" spans="1:12" x14ac:dyDescent="0.25">
      <c r="A118" s="2"/>
      <c r="G118" s="2"/>
    </row>
    <row r="119" spans="1:12" x14ac:dyDescent="0.25">
      <c r="A119" s="2"/>
      <c r="G119" s="2"/>
    </row>
    <row r="120" spans="1:12" x14ac:dyDescent="0.25">
      <c r="B120" s="2"/>
      <c r="C120" s="2"/>
      <c r="D120" s="2"/>
      <c r="E120" s="2"/>
      <c r="F120" s="2"/>
      <c r="H120" s="2"/>
      <c r="I120" s="2"/>
      <c r="J120" s="2"/>
      <c r="K120" s="2"/>
      <c r="L120" s="2"/>
    </row>
    <row r="122" spans="1:12" x14ac:dyDescent="0.25">
      <c r="A122" s="2"/>
      <c r="B122" s="2"/>
      <c r="C122" s="2"/>
      <c r="G122" s="2"/>
      <c r="H122" s="2"/>
      <c r="I122" s="2"/>
      <c r="L122" s="2"/>
    </row>
    <row r="123" spans="1:12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1:12" x14ac:dyDescent="0.25">
      <c r="A124" s="2"/>
      <c r="G124" s="2"/>
    </row>
    <row r="125" spans="1:12" x14ac:dyDescent="0.25">
      <c r="A125" s="2"/>
      <c r="G125" s="2"/>
    </row>
  </sheetData>
  <pageMargins left="0.7" right="0.7" top="0.75" bottom="0.75" header="0.3" footer="0.3"/>
  <pageSetup paperSize="9" orientation="portrait" verticalDpi="0" r:id="rId1"/>
  <headerFooter>
    <oddHeader>&amp;R&amp;"Calibri"&amp;10&amp;K000000 PUBLIC / CYHOEDDUS&amp;1#_x000D_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DBE2C-CB13-4A18-B38A-8B81666E09B5}">
  <dimension ref="A2:U125"/>
  <sheetViews>
    <sheetView topLeftCell="A46" zoomScaleNormal="100" workbookViewId="0">
      <selection activeCell="H91" sqref="H91"/>
    </sheetView>
  </sheetViews>
  <sheetFormatPr defaultRowHeight="15" x14ac:dyDescent="0.25"/>
  <cols>
    <col min="1" max="1" width="10.7109375" customWidth="1"/>
    <col min="4" max="4" width="10.42578125" customWidth="1"/>
    <col min="8" max="8" width="11" customWidth="1"/>
    <col min="12" max="12" width="10.7109375" customWidth="1"/>
  </cols>
  <sheetData>
    <row r="2" spans="1:21" x14ac:dyDescent="0.25">
      <c r="A2" s="2" t="s">
        <v>156</v>
      </c>
    </row>
    <row r="3" spans="1:21" x14ac:dyDescent="0.25">
      <c r="B3" s="2"/>
      <c r="C3" s="2" t="s">
        <v>157</v>
      </c>
      <c r="D3" s="2" t="s">
        <v>158</v>
      </c>
      <c r="E3" s="2" t="s">
        <v>159</v>
      </c>
      <c r="F3" s="2" t="s">
        <v>157</v>
      </c>
      <c r="G3" s="2" t="s">
        <v>158</v>
      </c>
      <c r="H3" s="2" t="s">
        <v>159</v>
      </c>
      <c r="I3" s="2"/>
      <c r="J3" s="2"/>
    </row>
    <row r="4" spans="1:21" x14ac:dyDescent="0.25">
      <c r="A4" s="2" t="s">
        <v>160</v>
      </c>
      <c r="B4" s="2" t="s">
        <v>161</v>
      </c>
      <c r="C4" s="2" t="s">
        <v>162</v>
      </c>
      <c r="D4" s="2" t="s">
        <v>162</v>
      </c>
      <c r="E4" s="2" t="s">
        <v>162</v>
      </c>
      <c r="F4" s="2" t="s">
        <v>163</v>
      </c>
      <c r="G4" s="2" t="s">
        <v>163</v>
      </c>
      <c r="H4" s="2" t="s">
        <v>163</v>
      </c>
      <c r="I4" s="2" t="s">
        <v>94</v>
      </c>
      <c r="J4" s="2" t="s">
        <v>95</v>
      </c>
      <c r="K4" s="2" t="s">
        <v>164</v>
      </c>
    </row>
    <row r="5" spans="1:21" ht="15.75" x14ac:dyDescent="0.25">
      <c r="A5" s="2" t="s">
        <v>142</v>
      </c>
      <c r="B5" s="44">
        <v>5.742</v>
      </c>
      <c r="C5" s="44">
        <v>2171</v>
      </c>
      <c r="D5" s="44">
        <v>10756</v>
      </c>
      <c r="E5" s="44">
        <v>22100</v>
      </c>
      <c r="F5" s="45">
        <v>53</v>
      </c>
      <c r="G5" s="45">
        <v>263</v>
      </c>
      <c r="H5" s="45">
        <v>525</v>
      </c>
      <c r="I5">
        <f t="shared" ref="I5:I12" si="0">LINEST(C5:E5, F5:H5)</f>
        <v>42.26611787987887</v>
      </c>
      <c r="J5">
        <f t="shared" ref="J5:J12" si="1">INTERCEPT(C5:E5, F5:H5)</f>
        <v>-172.93504565938019</v>
      </c>
      <c r="K5">
        <f t="shared" ref="K5:K12" si="2">RSQ(C5:E5,F5:H5)</f>
        <v>0.99973632326788076</v>
      </c>
    </row>
    <row r="6" spans="1:21" ht="15.75" x14ac:dyDescent="0.25">
      <c r="A6" s="2" t="s">
        <v>143</v>
      </c>
      <c r="B6" s="44">
        <v>6.7110000000000003</v>
      </c>
      <c r="C6" s="44">
        <v>3258</v>
      </c>
      <c r="D6" s="44">
        <v>17602</v>
      </c>
      <c r="E6" s="44">
        <v>34143</v>
      </c>
      <c r="F6" s="45">
        <v>49</v>
      </c>
      <c r="G6" s="45">
        <v>247</v>
      </c>
      <c r="H6" s="45">
        <v>495</v>
      </c>
      <c r="I6">
        <f t="shared" si="0"/>
        <v>69.143292927135334</v>
      </c>
      <c r="J6">
        <f t="shared" si="1"/>
        <v>103.5517648786481</v>
      </c>
      <c r="K6">
        <f t="shared" si="2"/>
        <v>0.99944368365418845</v>
      </c>
    </row>
    <row r="7" spans="1:21" ht="15.75" x14ac:dyDescent="0.25">
      <c r="A7" s="2" t="s">
        <v>144</v>
      </c>
      <c r="B7" s="44">
        <v>7.0490000000000004</v>
      </c>
      <c r="C7" s="44">
        <v>3689</v>
      </c>
      <c r="D7" s="44">
        <v>19904</v>
      </c>
      <c r="E7" s="44">
        <v>41040</v>
      </c>
      <c r="F7" s="45">
        <v>47</v>
      </c>
      <c r="G7" s="45">
        <v>235</v>
      </c>
      <c r="H7" s="45">
        <v>469</v>
      </c>
      <c r="I7">
        <f t="shared" si="0"/>
        <v>88.582338991140404</v>
      </c>
      <c r="J7">
        <f t="shared" si="1"/>
        <v>-630.7788607821567</v>
      </c>
      <c r="K7">
        <f t="shared" si="2"/>
        <v>0.99982921718941153</v>
      </c>
    </row>
    <row r="8" spans="1:21" ht="15.75" x14ac:dyDescent="0.25">
      <c r="A8" s="2" t="s">
        <v>145</v>
      </c>
      <c r="B8" s="44">
        <v>7.766</v>
      </c>
      <c r="C8" s="44">
        <v>4244</v>
      </c>
      <c r="D8" s="44">
        <v>21027</v>
      </c>
      <c r="E8" s="44">
        <v>42102</v>
      </c>
      <c r="F8" s="45">
        <v>45</v>
      </c>
      <c r="G8" s="45">
        <v>227</v>
      </c>
      <c r="H8" s="45">
        <v>453</v>
      </c>
      <c r="I8">
        <f t="shared" si="0"/>
        <v>92.807583059394247</v>
      </c>
      <c r="J8">
        <f t="shared" si="1"/>
        <v>29.167427313059306</v>
      </c>
      <c r="K8">
        <f t="shared" si="2"/>
        <v>0.99998989679857153</v>
      </c>
    </row>
    <row r="9" spans="1:21" ht="15.75" x14ac:dyDescent="0.25">
      <c r="A9" s="2" t="s">
        <v>146</v>
      </c>
      <c r="B9" s="44">
        <v>8.2330000000000005</v>
      </c>
      <c r="C9" s="44">
        <v>4212</v>
      </c>
      <c r="D9" s="44">
        <v>22448</v>
      </c>
      <c r="E9" s="44">
        <v>45374</v>
      </c>
      <c r="F9" s="45">
        <v>46</v>
      </c>
      <c r="G9" s="45">
        <v>228</v>
      </c>
      <c r="H9" s="45">
        <v>455</v>
      </c>
      <c r="I9">
        <f t="shared" si="0"/>
        <v>100.65498106646979</v>
      </c>
      <c r="J9">
        <f t="shared" si="1"/>
        <v>-447.82706581882667</v>
      </c>
      <c r="K9">
        <f t="shared" si="2"/>
        <v>0.99999493185125443</v>
      </c>
    </row>
    <row r="10" spans="1:21" ht="15.75" x14ac:dyDescent="0.25">
      <c r="A10" s="2" t="s">
        <v>147</v>
      </c>
      <c r="B10" s="44">
        <v>9.0069999999999997</v>
      </c>
      <c r="C10" s="44">
        <v>4356</v>
      </c>
      <c r="D10" s="44">
        <v>23345</v>
      </c>
      <c r="E10" s="44">
        <v>47267</v>
      </c>
      <c r="F10" s="45">
        <v>44</v>
      </c>
      <c r="G10" s="45">
        <v>221</v>
      </c>
      <c r="H10" s="45">
        <v>443</v>
      </c>
      <c r="I10">
        <f t="shared" si="0"/>
        <v>107.55513022592508</v>
      </c>
      <c r="J10">
        <f t="shared" si="1"/>
        <v>-393.67739998499019</v>
      </c>
      <c r="K10">
        <f t="shared" si="2"/>
        <v>0.99999843391744736</v>
      </c>
    </row>
    <row r="11" spans="1:21" ht="15.75" x14ac:dyDescent="0.25">
      <c r="A11" s="2" t="s">
        <v>148</v>
      </c>
      <c r="B11" s="44">
        <v>10.172000000000001</v>
      </c>
      <c r="C11" s="44">
        <v>4717</v>
      </c>
      <c r="D11" s="44">
        <v>25129</v>
      </c>
      <c r="E11" s="44">
        <v>50710</v>
      </c>
      <c r="F11" s="45">
        <v>44</v>
      </c>
      <c r="G11" s="45">
        <v>222</v>
      </c>
      <c r="H11" s="45">
        <v>444</v>
      </c>
      <c r="I11">
        <f t="shared" si="0"/>
        <v>114.99252182862453</v>
      </c>
      <c r="J11">
        <f t="shared" si="1"/>
        <v>-362.89683277447693</v>
      </c>
      <c r="K11">
        <f t="shared" si="2"/>
        <v>0.99999811682875683</v>
      </c>
    </row>
    <row r="12" spans="1:21" ht="15.75" x14ac:dyDescent="0.25">
      <c r="A12" s="2" t="s">
        <v>149</v>
      </c>
      <c r="B12" s="44">
        <v>11.288</v>
      </c>
      <c r="C12" s="44">
        <v>5383</v>
      </c>
      <c r="D12" s="44">
        <v>27802</v>
      </c>
      <c r="E12" s="44">
        <v>56960</v>
      </c>
      <c r="F12" s="45">
        <v>47</v>
      </c>
      <c r="G12" s="45">
        <v>234</v>
      </c>
      <c r="H12" s="45">
        <v>467</v>
      </c>
      <c r="I12">
        <f t="shared" si="0"/>
        <v>122.89675823803539</v>
      </c>
      <c r="J12">
        <f t="shared" si="1"/>
        <v>-593.92505401682865</v>
      </c>
      <c r="K12">
        <f t="shared" si="2"/>
        <v>0.99985253320749812</v>
      </c>
    </row>
    <row r="14" spans="1:21" x14ac:dyDescent="0.25">
      <c r="A14" s="2" t="s">
        <v>165</v>
      </c>
      <c r="B14" s="2" t="s">
        <v>57</v>
      </c>
      <c r="C14" s="2"/>
      <c r="G14" s="2" t="s">
        <v>165</v>
      </c>
      <c r="H14" s="2" t="s">
        <v>58</v>
      </c>
      <c r="I14" s="2"/>
      <c r="L14" s="2"/>
      <c r="M14" s="2"/>
      <c r="N14" s="2"/>
      <c r="Q14" s="2"/>
      <c r="R14" s="2"/>
    </row>
    <row r="15" spans="1:21" x14ac:dyDescent="0.25">
      <c r="A15" s="2" t="s">
        <v>160</v>
      </c>
      <c r="B15" s="2" t="s">
        <v>166</v>
      </c>
      <c r="C15" s="2" t="s">
        <v>167</v>
      </c>
      <c r="D15" s="2" t="s">
        <v>168</v>
      </c>
      <c r="E15" s="2" t="s">
        <v>169</v>
      </c>
      <c r="F15" s="2" t="s">
        <v>170</v>
      </c>
      <c r="G15" s="2" t="s">
        <v>160</v>
      </c>
      <c r="H15" s="2" t="s">
        <v>166</v>
      </c>
      <c r="I15" s="2" t="s">
        <v>167</v>
      </c>
      <c r="J15" s="2" t="s">
        <v>168</v>
      </c>
      <c r="K15" s="2" t="s">
        <v>169</v>
      </c>
      <c r="L15" s="2" t="s">
        <v>170</v>
      </c>
      <c r="M15" s="2"/>
      <c r="N15" s="2"/>
      <c r="O15" s="2"/>
      <c r="P15" s="2"/>
      <c r="Q15" s="2"/>
      <c r="R15" s="2"/>
      <c r="S15" s="2"/>
      <c r="T15" s="2"/>
      <c r="U15" s="2"/>
    </row>
    <row r="16" spans="1:21" x14ac:dyDescent="0.25">
      <c r="A16" s="2" t="s">
        <v>142</v>
      </c>
      <c r="B16">
        <v>11738</v>
      </c>
      <c r="C16">
        <v>10</v>
      </c>
      <c r="D16">
        <f>IF(B16=0,0,(B16-$J$5)/$I$5)*C16</f>
        <v>2818.0811588872416</v>
      </c>
      <c r="E16">
        <f>1.07*D16/1000</f>
        <v>3.0153468400093488</v>
      </c>
      <c r="F16">
        <f>D16*0.4/1000</f>
        <v>1.1272324635548967</v>
      </c>
      <c r="G16" s="2" t="s">
        <v>142</v>
      </c>
      <c r="H16">
        <v>11739</v>
      </c>
      <c r="I16">
        <v>10</v>
      </c>
      <c r="J16">
        <f>IF(H16=0,0,(H16-$J$5)/$I$5)*I16</f>
        <v>2818.3177550191222</v>
      </c>
      <c r="K16">
        <f>1.07*J16/1000</f>
        <v>3.0155999978704608</v>
      </c>
      <c r="L16">
        <f>J16*0.4/1000</f>
        <v>1.1273271020076487</v>
      </c>
      <c r="Q16" s="2"/>
    </row>
    <row r="17" spans="1:21" x14ac:dyDescent="0.25">
      <c r="A17" s="2" t="s">
        <v>143</v>
      </c>
      <c r="B17">
        <v>2566</v>
      </c>
      <c r="C17">
        <v>10</v>
      </c>
      <c r="D17">
        <f>IF(B17=0,0,(B17-$J$6)/$I$6)*C17</f>
        <v>356.13696294683734</v>
      </c>
      <c r="E17">
        <f>1.51*D17/1000</f>
        <v>0.53776681404972437</v>
      </c>
      <c r="F17">
        <f>D17*0.49/1000</f>
        <v>0.17450711184395029</v>
      </c>
      <c r="G17" s="2" t="s">
        <v>143</v>
      </c>
      <c r="H17">
        <v>2714</v>
      </c>
      <c r="I17">
        <v>10</v>
      </c>
      <c r="J17">
        <f>IF(H17=0,0,(H17-$J$6)/$I$6)*I17</f>
        <v>377.54178671708587</v>
      </c>
      <c r="K17">
        <f>1.51*J17/1000</f>
        <v>0.57008809794279969</v>
      </c>
      <c r="L17">
        <f>J17*0.49/1000</f>
        <v>0.18499547549137207</v>
      </c>
      <c r="Q17" s="2"/>
    </row>
    <row r="18" spans="1:21" x14ac:dyDescent="0.25">
      <c r="A18" s="2" t="s">
        <v>144</v>
      </c>
      <c r="B18">
        <v>1376</v>
      </c>
      <c r="C18">
        <v>10</v>
      </c>
      <c r="D18">
        <f>IF(B18=0,0,(B18-$J$7)/$I$7)*C18</f>
        <v>226.54390069592378</v>
      </c>
      <c r="E18">
        <f>1.82*D18/1000</f>
        <v>0.41230989926658129</v>
      </c>
      <c r="F18">
        <f>D18*0.54/1000</f>
        <v>0.12233370637579885</v>
      </c>
      <c r="G18" s="2" t="s">
        <v>144</v>
      </c>
      <c r="H18">
        <v>1352</v>
      </c>
      <c r="I18">
        <v>10</v>
      </c>
      <c r="J18">
        <f>IF(H18=0,0,(H18-$J$7)/$I$7)*I18</f>
        <v>223.83455701936984</v>
      </c>
      <c r="K18">
        <f>1.82*J18/1000</f>
        <v>0.4073788937752531</v>
      </c>
      <c r="L18">
        <f>J18*0.54/1000</f>
        <v>0.12087066079045973</v>
      </c>
      <c r="Q18" s="2"/>
    </row>
    <row r="19" spans="1:21" x14ac:dyDescent="0.25">
      <c r="A19" s="2" t="s">
        <v>145</v>
      </c>
      <c r="B19">
        <v>1436</v>
      </c>
      <c r="C19">
        <v>10</v>
      </c>
      <c r="D19">
        <f>IF(B19=0,0,(B19-$J$8)/$I$8)*C19</f>
        <v>151.58595087931633</v>
      </c>
      <c r="E19">
        <f>1.82*D19/1000</f>
        <v>0.27588643060035573</v>
      </c>
      <c r="F19">
        <f>D19*0.54/1000</f>
        <v>8.1856413474830816E-2</v>
      </c>
      <c r="G19" s="2" t="s">
        <v>145</v>
      </c>
      <c r="H19">
        <v>1475</v>
      </c>
      <c r="I19">
        <v>10</v>
      </c>
      <c r="J19">
        <f>IF(H19=0,0,(H19-$J$8)/$I$8)*I19</f>
        <v>155.7881937041339</v>
      </c>
      <c r="K19">
        <f>1.82*J19/1000</f>
        <v>0.28353451254152373</v>
      </c>
      <c r="L19">
        <f>J19*0.54/1000</f>
        <v>8.4125624600232318E-2</v>
      </c>
      <c r="Q19" s="2"/>
    </row>
    <row r="20" spans="1:21" x14ac:dyDescent="0.25">
      <c r="A20" s="2" t="s">
        <v>146</v>
      </c>
      <c r="B20">
        <v>2532</v>
      </c>
      <c r="C20">
        <v>10</v>
      </c>
      <c r="D20">
        <f>IF(B20=0,0,(B20-$J$9)/$I$9)*C20</f>
        <v>296.0436765519861</v>
      </c>
      <c r="E20">
        <f>2.04*D20/1000</f>
        <v>0.60392910016605161</v>
      </c>
      <c r="F20">
        <f>D20*0.59/1000</f>
        <v>0.17466576916567178</v>
      </c>
      <c r="G20" s="2" t="s">
        <v>146</v>
      </c>
      <c r="H20">
        <v>2408</v>
      </c>
      <c r="I20">
        <v>10</v>
      </c>
      <c r="J20">
        <f>IF(H20=0,0,(H20-$J$9)/$I$9)*I20</f>
        <v>283.72436570554981</v>
      </c>
      <c r="K20">
        <f>2.04*J20/1000</f>
        <v>0.57879770603932157</v>
      </c>
      <c r="L20">
        <f>J20*0.59/1000</f>
        <v>0.16739737576627439</v>
      </c>
      <c r="Q20" s="2"/>
    </row>
    <row r="21" spans="1:21" x14ac:dyDescent="0.25">
      <c r="A21" s="2" t="s">
        <v>147</v>
      </c>
      <c r="B21">
        <v>0</v>
      </c>
      <c r="C21">
        <v>10</v>
      </c>
      <c r="D21">
        <f>IF(B21=0,0,(B21-$J$10)/$I$10)*C21</f>
        <v>0</v>
      </c>
      <c r="E21">
        <f>2.04*D21/1000</f>
        <v>0</v>
      </c>
      <c r="F21">
        <f>D21*0.59/1000</f>
        <v>0</v>
      </c>
      <c r="G21" s="2" t="s">
        <v>147</v>
      </c>
      <c r="H21">
        <v>0</v>
      </c>
      <c r="I21">
        <v>10</v>
      </c>
      <c r="J21">
        <f>IF(H21=0,0,(H21-$J$10)/$I$10)*I21</f>
        <v>0</v>
      </c>
      <c r="K21">
        <f>2.04*J21/1000</f>
        <v>0</v>
      </c>
      <c r="L21">
        <f>J21*0.59/1000</f>
        <v>0</v>
      </c>
      <c r="Q21" s="2"/>
    </row>
    <row r="22" spans="1:21" x14ac:dyDescent="0.25">
      <c r="A22" s="2" t="s">
        <v>148</v>
      </c>
      <c r="B22">
        <v>960</v>
      </c>
      <c r="C22">
        <v>10</v>
      </c>
      <c r="D22">
        <f>IF(B22=0,0,(B22-$J$11)/$I$11)*1</f>
        <v>11.504198809954046</v>
      </c>
      <c r="E22">
        <f>2.21*D22/1000</f>
        <v>2.5424279369998443E-2</v>
      </c>
      <c r="F22">
        <f>D22*0.62/1000</f>
        <v>7.132603262171508E-3</v>
      </c>
      <c r="G22" s="2" t="s">
        <v>148</v>
      </c>
      <c r="H22">
        <v>726</v>
      </c>
      <c r="I22">
        <v>10</v>
      </c>
      <c r="J22">
        <f>IF(H22=0,0,(H22-$J$11)/$I$11)*1</f>
        <v>9.4692838756704543</v>
      </c>
      <c r="K22">
        <f>2.21*J22/1000</f>
        <v>2.0927117365231705E-2</v>
      </c>
      <c r="L22">
        <f>J22*0.62/1000</f>
        <v>5.8709560029156817E-3</v>
      </c>
      <c r="Q22" s="2"/>
    </row>
    <row r="23" spans="1:21" x14ac:dyDescent="0.25">
      <c r="A23" s="2" t="s">
        <v>149</v>
      </c>
      <c r="B23">
        <v>663</v>
      </c>
      <c r="C23">
        <v>10</v>
      </c>
      <c r="D23">
        <f>IF(B23=0,0,(B23-$J$12)/$I$12)*1</f>
        <v>10.227487462137322</v>
      </c>
      <c r="E23">
        <f>2.34*D23/1000</f>
        <v>2.393232066140133E-2</v>
      </c>
      <c r="F23">
        <f>D23*0.65/1000</f>
        <v>6.6478668503892595E-3</v>
      </c>
      <c r="G23" s="2" t="s">
        <v>149</v>
      </c>
      <c r="H23">
        <v>319</v>
      </c>
      <c r="I23">
        <v>10</v>
      </c>
      <c r="J23">
        <f>IF(H23=0,0,(H23-$J$12)/$I$12)*1</f>
        <v>7.4283900332717394</v>
      </c>
      <c r="K23">
        <f>2.34*J23/1000</f>
        <v>1.7382432677855872E-2</v>
      </c>
      <c r="L23">
        <f>J23*0.65/1000</f>
        <v>4.8284535216266307E-3</v>
      </c>
      <c r="Q23" s="2"/>
    </row>
    <row r="24" spans="1:21" x14ac:dyDescent="0.25">
      <c r="B24" s="2" t="s">
        <v>171</v>
      </c>
      <c r="C24" s="2"/>
      <c r="D24" s="2">
        <f>SUM(D16:D23)</f>
        <v>3870.1233362333965</v>
      </c>
      <c r="E24" s="2">
        <f>SUM(E16:E23)</f>
        <v>4.8945956841234617</v>
      </c>
      <c r="F24" s="2">
        <f>SUM(F16:F23)</f>
        <v>1.6943759345277092</v>
      </c>
      <c r="H24" s="2" t="s">
        <v>171</v>
      </c>
      <c r="I24" s="2"/>
      <c r="J24" s="2">
        <f>SUM(J16:J23)</f>
        <v>3876.1043320742033</v>
      </c>
      <c r="K24" s="2">
        <f>SUM(K16:K23)</f>
        <v>4.8937087582124468</v>
      </c>
      <c r="L24" s="2">
        <f>SUM(L16:L23)</f>
        <v>1.6954156481805296</v>
      </c>
      <c r="M24" s="2"/>
      <c r="N24" s="2"/>
      <c r="O24" s="2"/>
      <c r="P24" s="2"/>
      <c r="R24" s="2"/>
      <c r="S24" s="2"/>
      <c r="T24" s="2"/>
      <c r="U24" s="2"/>
    </row>
    <row r="26" spans="1:21" x14ac:dyDescent="0.25">
      <c r="A26" s="2" t="s">
        <v>165</v>
      </c>
      <c r="B26" s="2" t="s">
        <v>60</v>
      </c>
      <c r="C26" s="2"/>
      <c r="G26" s="2" t="s">
        <v>165</v>
      </c>
      <c r="H26" s="2" t="s">
        <v>61</v>
      </c>
      <c r="I26" s="2"/>
      <c r="L26" s="2"/>
      <c r="M26" s="2"/>
      <c r="N26" s="2"/>
      <c r="Q26" s="2"/>
      <c r="R26" s="2"/>
      <c r="S26" s="2"/>
    </row>
    <row r="27" spans="1:21" x14ac:dyDescent="0.25">
      <c r="A27" s="2" t="s">
        <v>160</v>
      </c>
      <c r="B27" s="2" t="s">
        <v>166</v>
      </c>
      <c r="C27" s="2" t="s">
        <v>167</v>
      </c>
      <c r="D27" s="2" t="s">
        <v>168</v>
      </c>
      <c r="E27" s="2" t="s">
        <v>169</v>
      </c>
      <c r="F27" s="2" t="s">
        <v>170</v>
      </c>
      <c r="G27" s="2" t="s">
        <v>160</v>
      </c>
      <c r="H27" s="2" t="s">
        <v>166</v>
      </c>
      <c r="I27" s="2" t="s">
        <v>167</v>
      </c>
      <c r="J27" s="2" t="s">
        <v>168</v>
      </c>
      <c r="K27" s="2" t="s">
        <v>169</v>
      </c>
      <c r="L27" s="2" t="s">
        <v>170</v>
      </c>
      <c r="M27" s="2"/>
      <c r="N27" s="2"/>
      <c r="O27" s="2"/>
      <c r="P27" s="2"/>
      <c r="Q27" s="2"/>
      <c r="R27" s="2"/>
      <c r="S27" s="2"/>
      <c r="T27" s="2"/>
      <c r="U27" s="2"/>
    </row>
    <row r="28" spans="1:21" x14ac:dyDescent="0.25">
      <c r="A28" s="2" t="s">
        <v>142</v>
      </c>
      <c r="B28">
        <v>18102</v>
      </c>
      <c r="C28">
        <v>10</v>
      </c>
      <c r="D28">
        <f t="shared" ref="D28" si="3">IF(B28=0,0,(B28-$J$5)/$I$5)*C28</f>
        <v>4323.7789421770658</v>
      </c>
      <c r="E28">
        <f t="shared" ref="E28" si="4">1.07*D28/1000</f>
        <v>4.6264434681294606</v>
      </c>
      <c r="F28">
        <f t="shared" ref="F28" si="5">D28*0.4/1000</f>
        <v>1.7295115768708265</v>
      </c>
      <c r="G28" s="2" t="s">
        <v>142</v>
      </c>
      <c r="H28">
        <v>20233</v>
      </c>
      <c r="I28">
        <v>10</v>
      </c>
      <c r="J28">
        <f t="shared" ref="J28" si="6">IF(H28=0,0,(H28-$J$5)/$I$5)*I28</f>
        <v>4827.9652992151887</v>
      </c>
      <c r="K28">
        <f t="shared" ref="K28" si="7">1.07*J28/1000</f>
        <v>5.1659228701602524</v>
      </c>
      <c r="L28">
        <f t="shared" ref="L28" si="8">J28*0.4/1000</f>
        <v>1.9311861196860756</v>
      </c>
      <c r="Q28" s="2"/>
    </row>
    <row r="29" spans="1:21" x14ac:dyDescent="0.25">
      <c r="A29" s="2" t="s">
        <v>143</v>
      </c>
      <c r="B29">
        <v>12923</v>
      </c>
      <c r="C29">
        <v>10</v>
      </c>
      <c r="D29">
        <f t="shared" ref="D29" si="9">IF(B29=0,0,(B29-$J$6)/$I$6)*C29</f>
        <v>1854.0407453013204</v>
      </c>
      <c r="E29">
        <f t="shared" ref="E29" si="10">1.51*D29/1000</f>
        <v>2.7996015254049937</v>
      </c>
      <c r="F29">
        <f t="shared" ref="F29" si="11">D29*0.49/1000</f>
        <v>0.90847996519764695</v>
      </c>
      <c r="G29" s="2" t="s">
        <v>143</v>
      </c>
      <c r="H29">
        <v>12747</v>
      </c>
      <c r="I29">
        <v>10</v>
      </c>
      <c r="J29">
        <f t="shared" ref="J29" si="12">IF(H29=0,0,(H29-$J$6)/$I$6)*I29</f>
        <v>1828.5863602772411</v>
      </c>
      <c r="K29">
        <f t="shared" ref="K29" si="13">1.51*J29/1000</f>
        <v>2.7611654040186342</v>
      </c>
      <c r="L29">
        <f t="shared" ref="L29" si="14">J29*0.49/1000</f>
        <v>0.89600731653584809</v>
      </c>
      <c r="Q29" s="2"/>
    </row>
    <row r="30" spans="1:21" x14ac:dyDescent="0.25">
      <c r="A30" s="2" t="s">
        <v>144</v>
      </c>
      <c r="B30">
        <v>782</v>
      </c>
      <c r="C30">
        <v>10</v>
      </c>
      <c r="D30">
        <f t="shared" ref="D30" si="15">IF(B30=0,0,(B30-$J$7)/$I$7)*C30</f>
        <v>159.4876447012148</v>
      </c>
      <c r="E30">
        <f t="shared" ref="E30:E31" si="16">1.82*D30/1000</f>
        <v>0.29026751335621093</v>
      </c>
      <c r="F30">
        <f t="shared" ref="F30:F31" si="17">D30*0.54/1000</f>
        <v>8.6123328138656002E-2</v>
      </c>
      <c r="G30" s="2" t="s">
        <v>144</v>
      </c>
      <c r="H30">
        <v>778</v>
      </c>
      <c r="I30">
        <v>10</v>
      </c>
      <c r="J30">
        <f t="shared" ref="J30" si="18">IF(H30=0,0,(H30-$J$7)/$I$7)*I30</f>
        <v>159.03608742178915</v>
      </c>
      <c r="K30">
        <f t="shared" ref="K30:K31" si="19">1.82*J30/1000</f>
        <v>0.28944567910765623</v>
      </c>
      <c r="L30">
        <f t="shared" ref="L30:L31" si="20">J30*0.54/1000</f>
        <v>8.5879487207766142E-2</v>
      </c>
      <c r="Q30" s="2"/>
    </row>
    <row r="31" spans="1:21" x14ac:dyDescent="0.25">
      <c r="A31" s="2" t="s">
        <v>145</v>
      </c>
      <c r="B31">
        <v>6250</v>
      </c>
      <c r="C31">
        <v>10</v>
      </c>
      <c r="D31">
        <f t="shared" ref="D31" si="21">IF(B31=0,0,(B31-$J$8)/$I$8)*C31</f>
        <v>670.29356520423357</v>
      </c>
      <c r="E31">
        <f t="shared" si="16"/>
        <v>1.2199342886717053</v>
      </c>
      <c r="F31">
        <f t="shared" si="17"/>
        <v>0.36195852521028615</v>
      </c>
      <c r="G31" s="2" t="s">
        <v>145</v>
      </c>
      <c r="H31">
        <v>7531</v>
      </c>
      <c r="I31">
        <v>10</v>
      </c>
      <c r="J31">
        <f t="shared" ref="J31" si="22">IF(H31=0,0,(H31-$J$8)/$I$8)*I31</f>
        <v>808.3210795270877</v>
      </c>
      <c r="K31">
        <f t="shared" si="19"/>
        <v>1.4711443647392997</v>
      </c>
      <c r="L31">
        <f t="shared" si="20"/>
        <v>0.43649338294462742</v>
      </c>
      <c r="Q31" s="2"/>
    </row>
    <row r="32" spans="1:21" x14ac:dyDescent="0.25">
      <c r="A32" s="2" t="s">
        <v>146</v>
      </c>
      <c r="B32">
        <v>655</v>
      </c>
      <c r="C32">
        <v>10</v>
      </c>
      <c r="D32">
        <f t="shared" ref="D32" si="23">IF(B32=0,0,(B32-$J$9)/$I$9)*C32</f>
        <v>109.56507607810785</v>
      </c>
      <c r="E32">
        <f t="shared" ref="E32:E33" si="24">2.04*D32/1000</f>
        <v>0.22351275519934</v>
      </c>
      <c r="F32">
        <f t="shared" ref="F32:F33" si="25">D32*0.59/1000</f>
        <v>6.464339488608363E-2</v>
      </c>
      <c r="G32" s="2" t="s">
        <v>146</v>
      </c>
      <c r="H32">
        <v>829</v>
      </c>
      <c r="I32">
        <v>10</v>
      </c>
      <c r="J32">
        <f t="shared" ref="J32" si="26">IF(H32=0,0,(H32-$J$9)/$I$9)*I32</f>
        <v>126.85185097552649</v>
      </c>
      <c r="K32">
        <f t="shared" ref="K32:K33" si="27">2.04*J32/1000</f>
        <v>0.25877777599007401</v>
      </c>
      <c r="L32">
        <f t="shared" ref="L32:L33" si="28">J32*0.59/1000</f>
        <v>7.4842592075560627E-2</v>
      </c>
      <c r="Q32" s="2"/>
    </row>
    <row r="33" spans="1:21" x14ac:dyDescent="0.25">
      <c r="A33" s="2" t="s">
        <v>147</v>
      </c>
      <c r="B33">
        <v>917</v>
      </c>
      <c r="C33">
        <v>10</v>
      </c>
      <c r="D33">
        <f t="shared" ref="D33" si="29">IF(B33=0,0,(B33-$J$10)/$I$10)*C33</f>
        <v>121.86098396532502</v>
      </c>
      <c r="E33">
        <f t="shared" si="24"/>
        <v>0.24859640728926305</v>
      </c>
      <c r="F33">
        <f t="shared" si="25"/>
        <v>7.1897980539541759E-2</v>
      </c>
      <c r="G33" s="2" t="s">
        <v>147</v>
      </c>
      <c r="H33">
        <v>634</v>
      </c>
      <c r="I33">
        <v>10</v>
      </c>
      <c r="J33">
        <f t="shared" ref="J33" si="30">IF(H33=0,0,(H33-$J$10)/$I$10)*I33</f>
        <v>95.548896442810403</v>
      </c>
      <c r="K33">
        <f t="shared" si="27"/>
        <v>0.19491974874333323</v>
      </c>
      <c r="L33">
        <f t="shared" si="28"/>
        <v>5.6373848901258135E-2</v>
      </c>
      <c r="Q33" s="2"/>
    </row>
    <row r="34" spans="1:21" x14ac:dyDescent="0.25">
      <c r="A34" s="2" t="s">
        <v>148</v>
      </c>
      <c r="B34">
        <v>952</v>
      </c>
      <c r="C34">
        <v>10</v>
      </c>
      <c r="D34">
        <f t="shared" ref="D34" si="31">IF(B34=0,0,(B34-$J$11)/$I$11)*1</f>
        <v>11.434629068611017</v>
      </c>
      <c r="E34">
        <f t="shared" ref="E34" si="32">2.21*D34/1000</f>
        <v>2.5270530241630347E-2</v>
      </c>
      <c r="F34">
        <f t="shared" ref="F34" si="33">D34*0.62/1000</f>
        <v>7.0894700225388298E-3</v>
      </c>
      <c r="G34" s="2" t="s">
        <v>148</v>
      </c>
      <c r="H34">
        <v>551</v>
      </c>
      <c r="I34">
        <v>10</v>
      </c>
      <c r="J34">
        <f t="shared" ref="J34" si="34">IF(H34=0,0,(H34-$J$11)/$I$11)*1</f>
        <v>7.9474457837916992</v>
      </c>
      <c r="K34">
        <f t="shared" ref="K34" si="35">2.21*J34/1000</f>
        <v>1.7563855182179653E-2</v>
      </c>
      <c r="L34">
        <f t="shared" ref="L34" si="36">J34*0.62/1000</f>
        <v>4.9274163859508533E-3</v>
      </c>
      <c r="Q34" s="2"/>
    </row>
    <row r="35" spans="1:21" x14ac:dyDescent="0.25">
      <c r="A35" s="2" t="s">
        <v>149</v>
      </c>
      <c r="B35">
        <v>398</v>
      </c>
      <c r="C35">
        <v>10</v>
      </c>
      <c r="D35">
        <f t="shared" ref="D35" si="37">IF(B35=0,0,(B35-$J$12)/$I$12)*1</f>
        <v>8.071206012575173</v>
      </c>
      <c r="E35">
        <f t="shared" ref="E35" si="38">2.34*D35/1000</f>
        <v>1.8886622069425905E-2</v>
      </c>
      <c r="F35">
        <f t="shared" ref="F35" si="39">D35*0.65/1000</f>
        <v>5.2462839081738625E-3</v>
      </c>
      <c r="G35" s="2" t="s">
        <v>149</v>
      </c>
      <c r="H35">
        <v>117</v>
      </c>
      <c r="I35">
        <v>10</v>
      </c>
      <c r="J35">
        <f t="shared" ref="J35" si="40">IF(H35=0,0,(H35-$J$12)/$I$12)*1</f>
        <v>5.7847339849262518</v>
      </c>
      <c r="K35">
        <f t="shared" ref="K35" si="41">2.34*J35/1000</f>
        <v>1.3536277524727428E-2</v>
      </c>
      <c r="L35">
        <f t="shared" ref="L35" si="42">J35*0.65/1000</f>
        <v>3.7600770902020638E-3</v>
      </c>
      <c r="Q35" s="2"/>
    </row>
    <row r="36" spans="1:21" x14ac:dyDescent="0.25">
      <c r="B36" s="2" t="s">
        <v>171</v>
      </c>
      <c r="C36" s="2"/>
      <c r="D36" s="2">
        <f t="shared" ref="D36:F36" si="43">SUM(D28:D35)</f>
        <v>7258.5327925084539</v>
      </c>
      <c r="E36" s="2">
        <f t="shared" si="43"/>
        <v>9.4525131103620303</v>
      </c>
      <c r="F36" s="2">
        <f t="shared" si="43"/>
        <v>3.2349505247737533</v>
      </c>
      <c r="H36" s="2" t="s">
        <v>171</v>
      </c>
      <c r="I36" s="2"/>
      <c r="J36" s="2">
        <f t="shared" ref="J36:L36" si="44">SUM(J28:J35)</f>
        <v>7860.0417536283621</v>
      </c>
      <c r="K36" s="2">
        <f t="shared" si="44"/>
        <v>10.172475975466156</v>
      </c>
      <c r="L36" s="2">
        <f t="shared" si="44"/>
        <v>3.4894702408272886</v>
      </c>
      <c r="M36" s="2"/>
      <c r="N36" s="2"/>
      <c r="O36" s="2"/>
      <c r="P36" s="2"/>
      <c r="R36" s="2"/>
      <c r="S36" s="2"/>
      <c r="T36" s="2"/>
      <c r="U36" s="2"/>
    </row>
    <row r="38" spans="1:21" x14ac:dyDescent="0.25">
      <c r="A38" s="2" t="s">
        <v>165</v>
      </c>
      <c r="B38" s="2" t="s">
        <v>63</v>
      </c>
      <c r="C38" s="2"/>
      <c r="G38" s="2" t="s">
        <v>165</v>
      </c>
      <c r="H38" s="2" t="s">
        <v>64</v>
      </c>
      <c r="I38" s="2"/>
      <c r="L38" s="2"/>
      <c r="M38" s="2"/>
      <c r="N38" s="2"/>
      <c r="Q38" s="2"/>
      <c r="R38" s="2"/>
      <c r="S38" s="2"/>
    </row>
    <row r="39" spans="1:21" x14ac:dyDescent="0.25">
      <c r="A39" s="2" t="s">
        <v>160</v>
      </c>
      <c r="B39" s="2" t="s">
        <v>166</v>
      </c>
      <c r="C39" s="2" t="s">
        <v>167</v>
      </c>
      <c r="D39" s="2" t="s">
        <v>168</v>
      </c>
      <c r="E39" s="2" t="s">
        <v>169</v>
      </c>
      <c r="F39" s="2" t="s">
        <v>170</v>
      </c>
      <c r="G39" s="2" t="s">
        <v>160</v>
      </c>
      <c r="H39" s="2" t="s">
        <v>166</v>
      </c>
      <c r="I39" s="2" t="s">
        <v>167</v>
      </c>
      <c r="J39" s="2" t="s">
        <v>168</v>
      </c>
      <c r="K39" s="2" t="s">
        <v>169</v>
      </c>
      <c r="L39" s="2" t="s">
        <v>170</v>
      </c>
      <c r="M39" s="2"/>
      <c r="N39" s="2"/>
      <c r="O39" s="2"/>
      <c r="P39" s="2"/>
      <c r="Q39" s="2"/>
      <c r="R39" s="2"/>
      <c r="S39" s="2"/>
      <c r="T39" s="2"/>
      <c r="U39" s="2"/>
    </row>
    <row r="40" spans="1:21" x14ac:dyDescent="0.25">
      <c r="A40" s="2" t="s">
        <v>142</v>
      </c>
      <c r="B40">
        <v>20650</v>
      </c>
      <c r="C40">
        <v>10</v>
      </c>
      <c r="D40">
        <f t="shared" ref="D40" si="45">IF(B40=0,0,(B40-$J$5)/$I$5)*C40</f>
        <v>4926.6258862095092</v>
      </c>
      <c r="E40">
        <f t="shared" ref="E40" si="46">1.07*D40/1000</f>
        <v>5.2714896982441752</v>
      </c>
      <c r="F40">
        <f t="shared" ref="F40" si="47">D40*0.4/1000</f>
        <v>1.9706503544838037</v>
      </c>
      <c r="G40" s="2" t="s">
        <v>142</v>
      </c>
      <c r="H40">
        <v>21476</v>
      </c>
      <c r="I40">
        <v>10</v>
      </c>
      <c r="J40">
        <f t="shared" ref="J40" si="48">IF(H40=0,0,(H40-$J$5)/$I$5)*I40</f>
        <v>5122.0542911431039</v>
      </c>
      <c r="K40">
        <f t="shared" ref="K40" si="49">1.07*J40/1000</f>
        <v>5.4805980915231212</v>
      </c>
      <c r="L40">
        <f t="shared" ref="L40" si="50">J40*0.4/1000</f>
        <v>2.0488217164572418</v>
      </c>
      <c r="Q40" s="2"/>
    </row>
    <row r="41" spans="1:21" x14ac:dyDescent="0.25">
      <c r="A41" s="2" t="s">
        <v>143</v>
      </c>
      <c r="B41">
        <v>8035</v>
      </c>
      <c r="C41">
        <v>10</v>
      </c>
      <c r="D41">
        <f t="shared" ref="D41" si="51">IF(B41=0,0,(B41-$J$6)/$I$6)*C41</f>
        <v>1147.1030521325733</v>
      </c>
      <c r="E41">
        <f t="shared" ref="E41" si="52">1.51*D41/1000</f>
        <v>1.7321256087201857</v>
      </c>
      <c r="F41">
        <f t="shared" ref="F41" si="53">D41*0.49/1000</f>
        <v>0.56208049554496098</v>
      </c>
      <c r="G41" s="2" t="s">
        <v>143</v>
      </c>
      <c r="H41">
        <v>8294</v>
      </c>
      <c r="I41">
        <v>10</v>
      </c>
      <c r="J41">
        <f t="shared" ref="J41" si="54">IF(H41=0,0,(H41-$J$6)/$I$6)*I41</f>
        <v>1184.5614937305081</v>
      </c>
      <c r="K41">
        <f t="shared" ref="K41" si="55">1.51*J41/1000</f>
        <v>1.7886878555330672</v>
      </c>
      <c r="L41">
        <f t="shared" ref="L41" si="56">J41*0.49/1000</f>
        <v>0.58043513192794893</v>
      </c>
      <c r="Q41" s="2"/>
    </row>
    <row r="42" spans="1:21" x14ac:dyDescent="0.25">
      <c r="A42" s="2" t="s">
        <v>144</v>
      </c>
      <c r="B42">
        <v>308</v>
      </c>
      <c r="C42">
        <v>10</v>
      </c>
      <c r="D42">
        <f t="shared" ref="D42" si="57">IF(B42=0,0,(B42-$J$7)/$I$7)*C42</f>
        <v>105.97810708927533</v>
      </c>
      <c r="E42">
        <f t="shared" ref="E42:E43" si="58">1.82*D42/1000</f>
        <v>0.19288015490248112</v>
      </c>
      <c r="F42">
        <f t="shared" ref="F42:F43" si="59">D42*0.54/1000</f>
        <v>5.722817782820868E-2</v>
      </c>
      <c r="G42" s="2" t="s">
        <v>144</v>
      </c>
      <c r="H42">
        <v>298</v>
      </c>
      <c r="I42">
        <v>10</v>
      </c>
      <c r="J42">
        <f t="shared" ref="J42" si="60">IF(H42=0,0,(H42-$J$7)/$I$7)*I42</f>
        <v>104.8492138907112</v>
      </c>
      <c r="K42">
        <f t="shared" ref="K42:K43" si="61">1.82*J42/1000</f>
        <v>0.19082556928109437</v>
      </c>
      <c r="L42">
        <f t="shared" ref="L42:L43" si="62">J42*0.54/1000</f>
        <v>5.661857550098405E-2</v>
      </c>
      <c r="Q42" s="2"/>
    </row>
    <row r="43" spans="1:21" x14ac:dyDescent="0.25">
      <c r="A43" s="2" t="s">
        <v>145</v>
      </c>
      <c r="B43">
        <v>12658</v>
      </c>
      <c r="C43">
        <v>10</v>
      </c>
      <c r="D43">
        <f t="shared" ref="D43" si="63">IF(B43=0,0,(B43-$J$8)/$I$8)*C43</f>
        <v>1360.7543862665666</v>
      </c>
      <c r="E43">
        <f t="shared" si="58"/>
        <v>2.4765729830051515</v>
      </c>
      <c r="F43">
        <f t="shared" si="59"/>
        <v>0.73480736858394591</v>
      </c>
      <c r="G43" s="2" t="s">
        <v>145</v>
      </c>
      <c r="H43">
        <v>12298</v>
      </c>
      <c r="I43">
        <v>10</v>
      </c>
      <c r="J43">
        <f t="shared" ref="J43" si="64">IF(H43=0,0,(H43-$J$8)/$I$8)*I43</f>
        <v>1321.9644524990194</v>
      </c>
      <c r="K43">
        <f t="shared" si="61"/>
        <v>2.4059753035482152</v>
      </c>
      <c r="L43">
        <f t="shared" si="62"/>
        <v>0.71386080434947052</v>
      </c>
      <c r="Q43" s="2"/>
    </row>
    <row r="44" spans="1:21" x14ac:dyDescent="0.25">
      <c r="A44" s="2" t="s">
        <v>146</v>
      </c>
      <c r="B44">
        <v>195</v>
      </c>
      <c r="C44">
        <v>10</v>
      </c>
      <c r="D44">
        <f t="shared" ref="D44" si="65">IF(B44=0,0,(B44-$J$9)/$I$9)*C44</f>
        <v>63.864406809070012</v>
      </c>
      <c r="E44">
        <f t="shared" ref="E44:E45" si="66">2.04*D44/1000</f>
        <v>0.13028338989050284</v>
      </c>
      <c r="F44">
        <f t="shared" ref="F44:F45" si="67">D44*0.59/1000</f>
        <v>3.7680000017351306E-2</v>
      </c>
      <c r="G44" s="2" t="s">
        <v>146</v>
      </c>
      <c r="H44">
        <v>173</v>
      </c>
      <c r="I44">
        <v>10</v>
      </c>
      <c r="J44">
        <f t="shared" ref="J44" si="68">IF(H44=0,0,(H44-$J$9)/$I$9)*I44</f>
        <v>61.678722626637771</v>
      </c>
      <c r="K44">
        <f t="shared" ref="K44:K45" si="69">2.04*J44/1000</f>
        <v>0.12582459415834105</v>
      </c>
      <c r="L44">
        <f t="shared" ref="L44:L45" si="70">J44*0.59/1000</f>
        <v>3.6390446349716284E-2</v>
      </c>
      <c r="Q44" s="2"/>
    </row>
    <row r="45" spans="1:21" x14ac:dyDescent="0.25">
      <c r="A45" s="2" t="s">
        <v>147</v>
      </c>
      <c r="B45">
        <v>3677</v>
      </c>
      <c r="C45">
        <v>10</v>
      </c>
      <c r="D45">
        <f t="shared" ref="D45" si="71">IF(B45=0,0,(B45-$J$10)/$I$10)*C45</f>
        <v>378.47356899055615</v>
      </c>
      <c r="E45">
        <f t="shared" si="66"/>
        <v>0.77208608074073459</v>
      </c>
      <c r="F45">
        <f t="shared" si="67"/>
        <v>0.22329940570442813</v>
      </c>
      <c r="G45" s="2" t="s">
        <v>147</v>
      </c>
      <c r="H45">
        <v>4187</v>
      </c>
      <c r="I45">
        <v>10</v>
      </c>
      <c r="J45">
        <f t="shared" ref="J45" si="72">IF(H45=0,0,(H45-$J$10)/$I$10)*I45</f>
        <v>425.89111187565317</v>
      </c>
      <c r="K45">
        <f t="shared" si="69"/>
        <v>0.86881786822633256</v>
      </c>
      <c r="L45">
        <f t="shared" si="70"/>
        <v>0.25127575600663538</v>
      </c>
      <c r="Q45" s="2"/>
    </row>
    <row r="46" spans="1:21" x14ac:dyDescent="0.25">
      <c r="A46" s="2" t="s">
        <v>148</v>
      </c>
      <c r="B46">
        <v>8336</v>
      </c>
      <c r="C46">
        <v>10</v>
      </c>
      <c r="D46">
        <f t="shared" ref="D46" si="73">IF(B46=0,0,(B46-$J$11)/$I$11)*1</f>
        <v>75.647500328226585</v>
      </c>
      <c r="E46">
        <f t="shared" ref="E46" si="74">2.21*D46/1000</f>
        <v>0.16718097572538076</v>
      </c>
      <c r="F46">
        <f t="shared" ref="F46" si="75">D46*0.62/1000</f>
        <v>4.6901450203500478E-2</v>
      </c>
      <c r="G46" s="2" t="s">
        <v>148</v>
      </c>
      <c r="H46">
        <v>8136</v>
      </c>
      <c r="I46">
        <v>10</v>
      </c>
      <c r="J46">
        <f t="shared" ref="J46" si="76">IF(H46=0,0,(H46-$J$11)/$I$11)*1</f>
        <v>73.908256794650868</v>
      </c>
      <c r="K46">
        <f t="shared" ref="K46" si="77">2.21*J46/1000</f>
        <v>0.16333724751617842</v>
      </c>
      <c r="L46">
        <f t="shared" ref="L46" si="78">J46*0.62/1000</f>
        <v>4.582311921268354E-2</v>
      </c>
      <c r="Q46" s="2"/>
    </row>
    <row r="47" spans="1:21" x14ac:dyDescent="0.25">
      <c r="A47" s="2" t="s">
        <v>149</v>
      </c>
      <c r="B47">
        <v>1165</v>
      </c>
      <c r="C47">
        <v>10</v>
      </c>
      <c r="D47">
        <f t="shared" ref="D47" si="79">IF(B47=0,0,(B47-$J$12)/$I$12)*1</f>
        <v>14.312216849609772</v>
      </c>
      <c r="E47">
        <f t="shared" ref="E47" si="80">2.34*D47/1000</f>
        <v>3.349058742808686E-2</v>
      </c>
      <c r="F47">
        <f t="shared" ref="F47" si="81">D47*0.65/1000</f>
        <v>9.3029409522463521E-3</v>
      </c>
      <c r="G47" s="2" t="s">
        <v>149</v>
      </c>
      <c r="H47">
        <v>1287</v>
      </c>
      <c r="I47">
        <v>10</v>
      </c>
      <c r="J47">
        <f t="shared" ref="J47" si="82">IF(H47=0,0,(H47-$J$12)/$I$12)*1</f>
        <v>15.304920007521403</v>
      </c>
      <c r="K47">
        <f t="shared" ref="K47" si="83">2.34*J47/1000</f>
        <v>3.5813512817600077E-2</v>
      </c>
      <c r="L47">
        <f t="shared" ref="L47" si="84">J47*0.65/1000</f>
        <v>9.9481980048889123E-3</v>
      </c>
      <c r="Q47" s="2"/>
    </row>
    <row r="48" spans="1:21" x14ac:dyDescent="0.25">
      <c r="B48" s="2" t="s">
        <v>171</v>
      </c>
      <c r="C48" s="2"/>
      <c r="D48" s="2">
        <f t="shared" ref="D48:F48" si="85">SUM(D40:D47)</f>
        <v>8072.7591246753873</v>
      </c>
      <c r="E48" s="2">
        <f t="shared" si="85"/>
        <v>10.7761094786567</v>
      </c>
      <c r="F48" s="2">
        <f t="shared" si="85"/>
        <v>3.6419501933184457</v>
      </c>
      <c r="H48" s="2" t="s">
        <v>171</v>
      </c>
      <c r="I48" s="2"/>
      <c r="J48" s="2">
        <f t="shared" ref="J48:L48" si="86">SUM(J40:J47)</f>
        <v>8310.2124625678061</v>
      </c>
      <c r="K48" s="2">
        <f t="shared" si="86"/>
        <v>11.05988004260395</v>
      </c>
      <c r="L48" s="2">
        <f t="shared" si="86"/>
        <v>3.7431737478095695</v>
      </c>
      <c r="M48" s="2"/>
      <c r="N48" s="2"/>
      <c r="O48" s="2"/>
      <c r="P48" s="2"/>
      <c r="Q48" s="2"/>
      <c r="R48" s="2"/>
      <c r="S48" s="2"/>
      <c r="T48" s="2"/>
      <c r="U48" s="2"/>
    </row>
    <row r="49" spans="1:21" x14ac:dyDescent="0.25">
      <c r="B49" s="2"/>
      <c r="C49" s="2"/>
      <c r="D49" s="2"/>
      <c r="E49" s="2"/>
      <c r="F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x14ac:dyDescent="0.25">
      <c r="A50" s="2" t="s">
        <v>156</v>
      </c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x14ac:dyDescent="0.25">
      <c r="B51" s="2"/>
      <c r="C51" s="2" t="s">
        <v>157</v>
      </c>
      <c r="D51" s="2" t="s">
        <v>158</v>
      </c>
      <c r="E51" s="2" t="s">
        <v>159</v>
      </c>
      <c r="F51" s="2" t="s">
        <v>157</v>
      </c>
      <c r="G51" s="2" t="s">
        <v>158</v>
      </c>
      <c r="H51" s="2" t="s">
        <v>159</v>
      </c>
      <c r="I51" s="2"/>
      <c r="J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x14ac:dyDescent="0.25">
      <c r="A52" s="2" t="s">
        <v>160</v>
      </c>
      <c r="B52" s="2" t="s">
        <v>161</v>
      </c>
      <c r="C52" s="2" t="s">
        <v>162</v>
      </c>
      <c r="D52" s="2" t="s">
        <v>162</v>
      </c>
      <c r="E52" s="2" t="s">
        <v>162</v>
      </c>
      <c r="F52" s="2" t="s">
        <v>163</v>
      </c>
      <c r="G52" s="2" t="s">
        <v>163</v>
      </c>
      <c r="H52" s="2" t="s">
        <v>163</v>
      </c>
      <c r="I52" s="2" t="s">
        <v>94</v>
      </c>
      <c r="J52" s="2" t="s">
        <v>95</v>
      </c>
      <c r="K52" s="2" t="s">
        <v>164</v>
      </c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ht="15.75" x14ac:dyDescent="0.25">
      <c r="A53" s="2" t="s">
        <v>142</v>
      </c>
      <c r="B53" s="44">
        <v>5.74</v>
      </c>
      <c r="C53" s="44">
        <v>2054</v>
      </c>
      <c r="D53" s="44">
        <v>10318</v>
      </c>
      <c r="E53" s="44">
        <v>20514</v>
      </c>
      <c r="F53" s="45">
        <v>53</v>
      </c>
      <c r="G53" s="45">
        <v>263</v>
      </c>
      <c r="H53" s="45">
        <v>525</v>
      </c>
      <c r="I53">
        <f>LINEST(C53:E53, F53:H53)</f>
        <v>39.102286545385198</v>
      </c>
      <c r="J53">
        <f>INTERCEPT(C53:E53, F53:H53)</f>
        <v>0.3256717770218529</v>
      </c>
      <c r="K53">
        <f>RSQ(C53:E53,F53:H53)</f>
        <v>0.99998995460513451</v>
      </c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ht="15.75" x14ac:dyDescent="0.25">
      <c r="A54" s="2" t="s">
        <v>143</v>
      </c>
      <c r="B54" s="44">
        <v>6.7119999999999997</v>
      </c>
      <c r="C54" s="44">
        <v>3095</v>
      </c>
      <c r="D54" s="44">
        <v>16575</v>
      </c>
      <c r="E54" s="44">
        <v>32756</v>
      </c>
      <c r="F54" s="45">
        <v>49</v>
      </c>
      <c r="G54" s="45">
        <v>247</v>
      </c>
      <c r="H54" s="45">
        <v>495</v>
      </c>
      <c r="I54">
        <f t="shared" ref="I54:I60" si="87">LINEST(C54:E54, F54:H54)</f>
        <v>66.452400341761688</v>
      </c>
      <c r="J54">
        <f>INTERCEPT(C54:E54, F54:H54)</f>
        <v>-45.949556777832186</v>
      </c>
      <c r="K54">
        <f t="shared" ref="K54:K55" si="88">RSQ(C54:E54,F54:H54)</f>
        <v>0.99985338649171229</v>
      </c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ht="15.75" x14ac:dyDescent="0.25">
      <c r="A55" s="2" t="s">
        <v>144</v>
      </c>
      <c r="B55" s="44">
        <v>7.048</v>
      </c>
      <c r="C55" s="44">
        <v>3508</v>
      </c>
      <c r="D55" s="44">
        <v>18764</v>
      </c>
      <c r="E55" s="44">
        <v>37246</v>
      </c>
      <c r="F55" s="45">
        <v>47</v>
      </c>
      <c r="G55" s="45">
        <v>235</v>
      </c>
      <c r="H55" s="45">
        <v>469</v>
      </c>
      <c r="I55">
        <f t="shared" si="87"/>
        <v>79.90913701041076</v>
      </c>
      <c r="J55">
        <f t="shared" ref="J55:J60" si="89">INTERCEPT(C55:E55, F55:H55)</f>
        <v>-164.58729827283241</v>
      </c>
      <c r="K55">
        <f t="shared" si="88"/>
        <v>0.99994069199560798</v>
      </c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15.75" x14ac:dyDescent="0.25">
      <c r="A56" s="2" t="s">
        <v>145</v>
      </c>
      <c r="B56" s="44">
        <v>7.766</v>
      </c>
      <c r="C56" s="44">
        <v>3996</v>
      </c>
      <c r="D56" s="44">
        <v>19632</v>
      </c>
      <c r="E56" s="44">
        <v>39280</v>
      </c>
      <c r="F56" s="45">
        <v>45</v>
      </c>
      <c r="G56" s="45">
        <v>227</v>
      </c>
      <c r="H56" s="45">
        <v>453</v>
      </c>
      <c r="I56">
        <f t="shared" si="87"/>
        <v>86.498547856892088</v>
      </c>
      <c r="J56">
        <f t="shared" si="89"/>
        <v>65.517601251074666</v>
      </c>
      <c r="K56">
        <f>RSQ(C56:E56,F56:H56)</f>
        <v>0.99998863577937069</v>
      </c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ht="15.75" x14ac:dyDescent="0.25">
      <c r="A57" s="2" t="s">
        <v>146</v>
      </c>
      <c r="B57" s="44">
        <v>8.2319999999999993</v>
      </c>
      <c r="C57" s="44">
        <v>4022</v>
      </c>
      <c r="D57" s="44">
        <v>21006</v>
      </c>
      <c r="E57" s="44">
        <v>42365</v>
      </c>
      <c r="F57" s="45">
        <v>46</v>
      </c>
      <c r="G57" s="45">
        <v>228</v>
      </c>
      <c r="H57" s="45">
        <v>455</v>
      </c>
      <c r="I57">
        <f t="shared" si="87"/>
        <v>93.76212817642714</v>
      </c>
      <c r="J57">
        <f t="shared" si="89"/>
        <v>-319.86381353846809</v>
      </c>
      <c r="K57">
        <f t="shared" ref="K57:K60" si="90">RSQ(C57:E57,F57:H57)</f>
        <v>0.99999450489919051</v>
      </c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ht="15.75" x14ac:dyDescent="0.25">
      <c r="A58" s="2" t="s">
        <v>147</v>
      </c>
      <c r="B58" s="44">
        <v>9.0050000000000008</v>
      </c>
      <c r="C58" s="44">
        <v>4162</v>
      </c>
      <c r="D58" s="44">
        <v>21712</v>
      </c>
      <c r="E58" s="44">
        <v>43736</v>
      </c>
      <c r="F58" s="45">
        <v>44</v>
      </c>
      <c r="G58" s="45">
        <v>221</v>
      </c>
      <c r="H58" s="45">
        <v>443</v>
      </c>
      <c r="I58">
        <f t="shared" si="87"/>
        <v>99.183967574870508</v>
      </c>
      <c r="J58">
        <f t="shared" si="89"/>
        <v>-204.08301433611268</v>
      </c>
      <c r="K58">
        <f t="shared" si="90"/>
        <v>0.99999997553429243</v>
      </c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ht="15.75" x14ac:dyDescent="0.25">
      <c r="A59" s="2" t="s">
        <v>148</v>
      </c>
      <c r="B59" s="44">
        <v>10.172000000000001</v>
      </c>
      <c r="C59" s="44">
        <v>4514</v>
      </c>
      <c r="D59" s="44">
        <v>23106</v>
      </c>
      <c r="E59" s="44">
        <v>46668</v>
      </c>
      <c r="F59" s="45">
        <v>44</v>
      </c>
      <c r="G59" s="45">
        <v>222</v>
      </c>
      <c r="H59" s="45">
        <v>444</v>
      </c>
      <c r="I59">
        <f t="shared" si="87"/>
        <v>105.41540785498491</v>
      </c>
      <c r="J59">
        <f t="shared" si="89"/>
        <v>-185.64652567976373</v>
      </c>
      <c r="K59">
        <f t="shared" si="90"/>
        <v>0.99997937042366303</v>
      </c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ht="15.75" x14ac:dyDescent="0.25">
      <c r="A60" s="2" t="s">
        <v>149</v>
      </c>
      <c r="B60" s="44">
        <v>11.287000000000001</v>
      </c>
      <c r="C60" s="44">
        <v>5055</v>
      </c>
      <c r="D60" s="44">
        <v>25838</v>
      </c>
      <c r="E60" s="44">
        <v>52355</v>
      </c>
      <c r="F60" s="45">
        <v>47</v>
      </c>
      <c r="G60" s="45">
        <v>234</v>
      </c>
      <c r="H60" s="45">
        <v>467</v>
      </c>
      <c r="I60">
        <f t="shared" si="87"/>
        <v>112.66697031521728</v>
      </c>
      <c r="J60">
        <f t="shared" si="89"/>
        <v>-342.29793192751822</v>
      </c>
      <c r="K60">
        <f t="shared" si="90"/>
        <v>0.99995475466818795</v>
      </c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x14ac:dyDescent="0.25">
      <c r="B61" s="2"/>
      <c r="C61" s="2"/>
      <c r="D61" s="2"/>
      <c r="E61" s="2"/>
      <c r="F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x14ac:dyDescent="0.25">
      <c r="A62" s="2" t="s">
        <v>165</v>
      </c>
      <c r="B62" s="2" t="s">
        <v>66</v>
      </c>
      <c r="C62" s="2"/>
      <c r="G62" s="2" t="s">
        <v>165</v>
      </c>
      <c r="H62" s="2" t="s">
        <v>67</v>
      </c>
      <c r="I62" s="2"/>
      <c r="L62" s="2"/>
      <c r="N62" s="2"/>
    </row>
    <row r="63" spans="1:21" x14ac:dyDescent="0.25">
      <c r="A63" s="2" t="s">
        <v>160</v>
      </c>
      <c r="B63" s="2" t="s">
        <v>166</v>
      </c>
      <c r="C63" s="2" t="s">
        <v>167</v>
      </c>
      <c r="D63" s="2" t="s">
        <v>168</v>
      </c>
      <c r="E63" s="2" t="s">
        <v>169</v>
      </c>
      <c r="F63" s="2" t="s">
        <v>170</v>
      </c>
      <c r="G63" s="2" t="s">
        <v>160</v>
      </c>
      <c r="H63" s="2" t="s">
        <v>166</v>
      </c>
      <c r="I63" s="2" t="s">
        <v>167</v>
      </c>
      <c r="J63" s="2" t="s">
        <v>168</v>
      </c>
      <c r="K63" s="2" t="s">
        <v>169</v>
      </c>
      <c r="L63" s="2" t="s">
        <v>170</v>
      </c>
      <c r="N63" s="2"/>
    </row>
    <row r="64" spans="1:21" x14ac:dyDescent="0.25">
      <c r="A64" s="2" t="s">
        <v>142</v>
      </c>
      <c r="B64">
        <v>9848</v>
      </c>
      <c r="C64">
        <v>10</v>
      </c>
      <c r="D64">
        <f>IF(B64=0,0,(B64-$J$53)/$I$53)*C64</f>
        <v>2518.4395078259658</v>
      </c>
      <c r="E64">
        <f t="shared" ref="E64" si="91">1.07*D64/1000</f>
        <v>2.6947302733737839</v>
      </c>
      <c r="F64">
        <f t="shared" ref="F64" si="92">D64*0.4/1000</f>
        <v>1.0073758031303863</v>
      </c>
      <c r="G64" s="2" t="s">
        <v>142</v>
      </c>
      <c r="H64">
        <v>10590</v>
      </c>
      <c r="I64">
        <v>10</v>
      </c>
      <c r="J64">
        <f>IF(H64=0,0,(H64-$J$53)/$I$53)*I64</f>
        <v>2708.1982318174073</v>
      </c>
      <c r="K64">
        <f>1.07*J64/1000</f>
        <v>2.8977721080446259</v>
      </c>
      <c r="L64">
        <f t="shared" ref="L64" si="93">J64*0.4/1000</f>
        <v>1.083279292726963</v>
      </c>
    </row>
    <row r="65" spans="1:12" x14ac:dyDescent="0.25">
      <c r="A65" s="2" t="s">
        <v>143</v>
      </c>
      <c r="B65">
        <v>2510</v>
      </c>
      <c r="C65">
        <v>10</v>
      </c>
      <c r="D65">
        <f>IF(B65=0,0,(B65-$J$54)/$I$54)*C65</f>
        <v>384.62862795515275</v>
      </c>
      <c r="E65">
        <f t="shared" ref="E65" si="94">1.51*D65/1000</f>
        <v>0.58078922821228074</v>
      </c>
      <c r="F65">
        <f t="shared" ref="F65" si="95">D65*0.49/1000</f>
        <v>0.18846802769802484</v>
      </c>
      <c r="G65" s="2" t="s">
        <v>143</v>
      </c>
      <c r="H65">
        <v>2532</v>
      </c>
      <c r="I65">
        <v>10</v>
      </c>
      <c r="J65">
        <f>IF(H65=0,0,(H65-$J$54)/$I$54)*I65</f>
        <v>387.93926833636624</v>
      </c>
      <c r="K65">
        <f t="shared" ref="K65" si="96">1.51*J65/1000</f>
        <v>0.58578829518791309</v>
      </c>
      <c r="L65">
        <f t="shared" ref="L65" si="97">J65*0.49/1000</f>
        <v>0.19009024148481946</v>
      </c>
    </row>
    <row r="66" spans="1:12" x14ac:dyDescent="0.25">
      <c r="A66" s="2" t="s">
        <v>144</v>
      </c>
      <c r="B66">
        <v>1193</v>
      </c>
      <c r="C66">
        <v>10</v>
      </c>
      <c r="D66">
        <f>IF(B66=0,0,(B66-$J$55)/$I$55)*C66</f>
        <v>169.89137275953343</v>
      </c>
      <c r="E66">
        <f t="shared" ref="E66:E67" si="98">1.82*D66/1000</f>
        <v>0.30920229842235086</v>
      </c>
      <c r="F66">
        <f t="shared" ref="F66:F67" si="99">D66*0.54/1000</f>
        <v>9.1741341290148062E-2</v>
      </c>
      <c r="G66" s="2" t="s">
        <v>144</v>
      </c>
      <c r="H66">
        <v>1268</v>
      </c>
      <c r="I66">
        <v>10</v>
      </c>
      <c r="J66">
        <f>IF(H66=0,0,(H66-$J$55)/$I$55)*I66</f>
        <v>179.27703287374902</v>
      </c>
      <c r="K66">
        <f t="shared" ref="K66:K67" si="100">1.82*J66/1000</f>
        <v>0.32628419983022328</v>
      </c>
      <c r="L66">
        <f t="shared" ref="L66:L67" si="101">J66*0.54/1000</f>
        <v>9.6809597751824489E-2</v>
      </c>
    </row>
    <row r="67" spans="1:12" x14ac:dyDescent="0.25">
      <c r="A67" s="2" t="s">
        <v>145</v>
      </c>
      <c r="B67">
        <v>1245</v>
      </c>
      <c r="C67">
        <v>10</v>
      </c>
      <c r="D67">
        <f>IF(B67=0,0,(B67-$J$56)/$I$56)*C67</f>
        <v>136.35863583517323</v>
      </c>
      <c r="E67">
        <f t="shared" si="98"/>
        <v>0.2481727172200153</v>
      </c>
      <c r="F67">
        <f t="shared" si="99"/>
        <v>7.3633663350993542E-2</v>
      </c>
      <c r="G67" s="2" t="s">
        <v>145</v>
      </c>
      <c r="H67">
        <v>1634</v>
      </c>
      <c r="I67">
        <v>10</v>
      </c>
      <c r="J67">
        <f>IF(H67=0,0,(H67-$J$56)/$I$56)*I67</f>
        <v>181.33048907871935</v>
      </c>
      <c r="K67">
        <f t="shared" si="100"/>
        <v>0.33002149012326926</v>
      </c>
      <c r="L67">
        <f t="shared" si="101"/>
        <v>9.7918464102508457E-2</v>
      </c>
    </row>
    <row r="68" spans="1:12" x14ac:dyDescent="0.25">
      <c r="A68" s="2" t="s">
        <v>146</v>
      </c>
      <c r="B68">
        <v>2198</v>
      </c>
      <c r="C68">
        <v>10</v>
      </c>
      <c r="D68">
        <f>IF(B68=0,0,(B68-$J$57)/$I$57)*C68</f>
        <v>268.53740017512609</v>
      </c>
      <c r="E68">
        <f t="shared" ref="E68:E69" si="102">2.04*D68/1000</f>
        <v>0.54781629635725726</v>
      </c>
      <c r="F68">
        <f t="shared" ref="F68:F69" si="103">D68*0.59/1000</f>
        <v>0.15843706610332439</v>
      </c>
      <c r="G68" s="2" t="s">
        <v>146</v>
      </c>
      <c r="H68">
        <v>2217</v>
      </c>
      <c r="I68">
        <v>10</v>
      </c>
      <c r="J68">
        <f>IF(H68=0,0,(H68-$J$57)/$I$57)*I68</f>
        <v>270.5638046914836</v>
      </c>
      <c r="K68">
        <f t="shared" ref="K68:K69" si="104">2.04*J68/1000</f>
        <v>0.55195016157062649</v>
      </c>
      <c r="L68">
        <f t="shared" ref="L68:L69" si="105">J68*0.59/1000</f>
        <v>0.15963264476797531</v>
      </c>
    </row>
    <row r="69" spans="1:12" x14ac:dyDescent="0.25">
      <c r="A69" s="2" t="s">
        <v>147</v>
      </c>
      <c r="B69">
        <v>0</v>
      </c>
      <c r="C69">
        <v>10</v>
      </c>
      <c r="D69">
        <f>IF(B69=0,0,(B69-$J$58)/$I$58)*C69</f>
        <v>0</v>
      </c>
      <c r="E69">
        <f t="shared" si="102"/>
        <v>0</v>
      </c>
      <c r="F69">
        <f t="shared" si="103"/>
        <v>0</v>
      </c>
      <c r="G69" s="2" t="s">
        <v>147</v>
      </c>
      <c r="H69">
        <v>0</v>
      </c>
      <c r="I69">
        <v>10</v>
      </c>
      <c r="J69">
        <f>IF(H69=0,0,(H69-$J$58)/$I$58)*I69</f>
        <v>0</v>
      </c>
      <c r="K69">
        <f t="shared" si="104"/>
        <v>0</v>
      </c>
      <c r="L69">
        <f t="shared" si="105"/>
        <v>0</v>
      </c>
    </row>
    <row r="70" spans="1:12" x14ac:dyDescent="0.25">
      <c r="A70" s="2" t="s">
        <v>148</v>
      </c>
      <c r="B70">
        <v>741</v>
      </c>
      <c r="C70">
        <v>10</v>
      </c>
      <c r="D70">
        <f>IF(B70=0,0,(B70-$J$59)/$I$59)*C70</f>
        <v>87.904277423515595</v>
      </c>
      <c r="E70">
        <f t="shared" ref="E70" si="106">2.21*D70/1000</f>
        <v>0.19426845310596946</v>
      </c>
      <c r="F70">
        <f t="shared" ref="F70" si="107">D70*0.62/1000</f>
        <v>5.4500652002579669E-2</v>
      </c>
      <c r="G70" s="2" t="s">
        <v>148</v>
      </c>
      <c r="H70">
        <v>677</v>
      </c>
      <c r="I70">
        <v>10</v>
      </c>
      <c r="J70">
        <f>IF(H70=0,0,(H70-$J$59)/$I$59)*I70</f>
        <v>81.833058680232654</v>
      </c>
      <c r="K70">
        <f t="shared" ref="K70" si="108">2.21*J70/1000</f>
        <v>0.18085105968331416</v>
      </c>
      <c r="L70">
        <f t="shared" ref="L70" si="109">J70*0.62/1000</f>
        <v>5.0736496381744246E-2</v>
      </c>
    </row>
    <row r="71" spans="1:12" x14ac:dyDescent="0.25">
      <c r="A71" s="2" t="s">
        <v>149</v>
      </c>
      <c r="B71">
        <v>453</v>
      </c>
      <c r="C71">
        <v>10</v>
      </c>
      <c r="D71">
        <f>IF(B71=0,0,(B71-$J$60)/$I$60)*C71</f>
        <v>70.588383596581181</v>
      </c>
      <c r="E71">
        <f t="shared" ref="E71" si="110">2.34*D71/1000</f>
        <v>0.16517681761599998</v>
      </c>
      <c r="F71">
        <f t="shared" ref="F71" si="111">D71*0.65/1000</f>
        <v>4.588244933777777E-2</v>
      </c>
      <c r="G71" s="2" t="s">
        <v>149</v>
      </c>
      <c r="H71">
        <v>235</v>
      </c>
      <c r="I71">
        <v>10</v>
      </c>
      <c r="J71">
        <f>IF(H71=0,0,(H71-$J$60)/$I$60)*I71</f>
        <v>51.239323318304038</v>
      </c>
      <c r="K71">
        <f t="shared" ref="K71" si="112">2.34*J71/1000</f>
        <v>0.11990001656483144</v>
      </c>
      <c r="L71">
        <f t="shared" ref="L71" si="113">J71*0.65/1000</f>
        <v>3.3305560156897625E-2</v>
      </c>
    </row>
    <row r="72" spans="1:12" x14ac:dyDescent="0.25">
      <c r="B72" s="2" t="s">
        <v>171</v>
      </c>
      <c r="C72" s="2"/>
      <c r="D72" s="2">
        <f t="shared" ref="D72:F72" si="114">SUM(D64:D71)</f>
        <v>3636.3482055710479</v>
      </c>
      <c r="E72" s="2">
        <f t="shared" si="114"/>
        <v>4.7401560843076576</v>
      </c>
      <c r="F72" s="2">
        <f t="shared" si="114"/>
        <v>1.6200390029132345</v>
      </c>
      <c r="H72" s="2" t="s">
        <v>171</v>
      </c>
      <c r="I72" s="2"/>
      <c r="J72" s="2">
        <f t="shared" ref="J72:L72" si="115">SUM(J64:J71)</f>
        <v>3860.3812087962619</v>
      </c>
      <c r="K72" s="2">
        <f t="shared" si="115"/>
        <v>4.9925673310048042</v>
      </c>
      <c r="L72" s="2">
        <f t="shared" si="115"/>
        <v>1.7117722973727325</v>
      </c>
    </row>
    <row r="74" spans="1:12" x14ac:dyDescent="0.25">
      <c r="A74" s="2" t="s">
        <v>165</v>
      </c>
      <c r="B74" s="2" t="s">
        <v>69</v>
      </c>
      <c r="C74" s="2"/>
      <c r="G74" s="2" t="s">
        <v>165</v>
      </c>
      <c r="H74" s="2" t="s">
        <v>70</v>
      </c>
      <c r="I74" s="2"/>
      <c r="L74" s="2"/>
    </row>
    <row r="75" spans="1:12" x14ac:dyDescent="0.25">
      <c r="A75" s="2" t="s">
        <v>160</v>
      </c>
      <c r="B75" s="2" t="s">
        <v>166</v>
      </c>
      <c r="C75" s="2" t="s">
        <v>167</v>
      </c>
      <c r="D75" s="2" t="s">
        <v>168</v>
      </c>
      <c r="E75" s="2" t="s">
        <v>169</v>
      </c>
      <c r="F75" s="2" t="s">
        <v>170</v>
      </c>
      <c r="G75" s="2" t="s">
        <v>160</v>
      </c>
      <c r="H75" s="2" t="s">
        <v>166</v>
      </c>
      <c r="I75" s="2" t="s">
        <v>167</v>
      </c>
      <c r="J75" s="2" t="s">
        <v>168</v>
      </c>
      <c r="K75" s="2" t="s">
        <v>169</v>
      </c>
      <c r="L75" s="2" t="s">
        <v>170</v>
      </c>
    </row>
    <row r="76" spans="1:12" x14ac:dyDescent="0.25">
      <c r="A76" s="2" t="s">
        <v>142</v>
      </c>
      <c r="B76">
        <v>17429</v>
      </c>
      <c r="C76">
        <v>10</v>
      </c>
      <c r="D76">
        <f>IF(B76=0,0,(B76-$J$53)/$I$53)*C76</f>
        <v>4457.2008104932393</v>
      </c>
      <c r="E76">
        <f t="shared" ref="E76" si="116">1.07*D76/1000</f>
        <v>4.7692048672277663</v>
      </c>
      <c r="F76">
        <f t="shared" ref="F76" si="117">D76*0.4/1000</f>
        <v>1.7828803241972957</v>
      </c>
      <c r="G76" s="2" t="s">
        <v>142</v>
      </c>
      <c r="H76">
        <v>16833</v>
      </c>
      <c r="I76">
        <v>10</v>
      </c>
      <c r="J76">
        <f>IF(H76=0,0,(H76-$J$53)/$I$53)*I76</f>
        <v>4304.7800564515965</v>
      </c>
      <c r="K76">
        <f t="shared" ref="K76" si="118">1.07*J76/1000</f>
        <v>4.6061146604032084</v>
      </c>
      <c r="L76">
        <f t="shared" ref="L76" si="119">J76*0.4/1000</f>
        <v>1.7219120225806386</v>
      </c>
    </row>
    <row r="77" spans="1:12" x14ac:dyDescent="0.25">
      <c r="A77" s="2" t="s">
        <v>143</v>
      </c>
      <c r="B77">
        <v>13172</v>
      </c>
      <c r="C77">
        <v>10</v>
      </c>
      <c r="D77">
        <f>IF(B77=0,0,(B77-$J$54)/$I$54)*C77</f>
        <v>1989.0853436141533</v>
      </c>
      <c r="E77">
        <f t="shared" ref="E77" si="120">1.51*D77/1000</f>
        <v>3.0035188688573715</v>
      </c>
      <c r="F77">
        <f t="shared" ref="F77" si="121">D77*0.49/1000</f>
        <v>0.97465181837093506</v>
      </c>
      <c r="G77" s="2" t="s">
        <v>143</v>
      </c>
      <c r="H77">
        <v>12052</v>
      </c>
      <c r="I77">
        <v>10</v>
      </c>
      <c r="J77">
        <f>IF(H77=0,0,(H77-$J$54)/$I$54)*I77</f>
        <v>1820.5436514796495</v>
      </c>
      <c r="K77">
        <f t="shared" ref="K77" si="122">1.51*J77/1000</f>
        <v>2.7490209137342707</v>
      </c>
      <c r="L77">
        <f t="shared" ref="L77" si="123">J77*0.49/1000</f>
        <v>0.89206638922502823</v>
      </c>
    </row>
    <row r="78" spans="1:12" x14ac:dyDescent="0.25">
      <c r="A78" s="2" t="s">
        <v>144</v>
      </c>
      <c r="B78">
        <v>777</v>
      </c>
      <c r="C78">
        <v>10</v>
      </c>
      <c r="D78">
        <f>IF(B78=0,0,(B78-$J$55)/$I$55)*C78</f>
        <v>117.83224465935105</v>
      </c>
      <c r="E78">
        <f t="shared" ref="E78:E79" si="124">1.82*D78/1000</f>
        <v>0.2144546852800189</v>
      </c>
      <c r="F78">
        <f t="shared" ref="F78:F79" si="125">D78*0.54/1000</f>
        <v>6.3629412116049569E-2</v>
      </c>
      <c r="G78" s="2" t="s">
        <v>144</v>
      </c>
      <c r="H78">
        <v>770</v>
      </c>
      <c r="I78">
        <v>10</v>
      </c>
      <c r="J78">
        <f>IF(H78=0,0,(H78-$J$55)/$I$55)*I78</f>
        <v>116.95624971535759</v>
      </c>
      <c r="K78">
        <f t="shared" ref="K78:K79" si="126">1.82*J78/1000</f>
        <v>0.21286037448195083</v>
      </c>
      <c r="L78">
        <f t="shared" ref="L78:L79" si="127">J78*0.54/1000</f>
        <v>6.3156374846293092E-2</v>
      </c>
    </row>
    <row r="79" spans="1:12" x14ac:dyDescent="0.25">
      <c r="A79" s="2" t="s">
        <v>145</v>
      </c>
      <c r="B79">
        <v>7612</v>
      </c>
      <c r="C79">
        <v>10</v>
      </c>
      <c r="D79">
        <f>IF(B79=0,0,(B79-$J$56)/$I$56)*C79</f>
        <v>872.44035717619636</v>
      </c>
      <c r="E79">
        <f t="shared" si="124"/>
        <v>1.5878414500606775</v>
      </c>
      <c r="F79">
        <f t="shared" si="125"/>
        <v>0.47111779287514605</v>
      </c>
      <c r="G79" s="2" t="s">
        <v>145</v>
      </c>
      <c r="H79">
        <v>9672</v>
      </c>
      <c r="I79">
        <v>10</v>
      </c>
      <c r="J79">
        <f>IF(H79=0,0,(H79-$J$56)/$I$56)*I79</f>
        <v>1110.5946442756951</v>
      </c>
      <c r="K79">
        <f t="shared" si="126"/>
        <v>2.0212822525817655</v>
      </c>
      <c r="L79">
        <f t="shared" si="127"/>
        <v>0.59972110790887545</v>
      </c>
    </row>
    <row r="80" spans="1:12" x14ac:dyDescent="0.25">
      <c r="A80" s="2" t="s">
        <v>146</v>
      </c>
      <c r="B80">
        <v>794</v>
      </c>
      <c r="C80">
        <v>10</v>
      </c>
      <c r="D80">
        <f>IF(B80=0,0,(B80-$J$57)/$I$57)*C80</f>
        <v>118.79677170323723</v>
      </c>
      <c r="E80">
        <f t="shared" ref="E80:E81" si="128">2.04*D80/1000</f>
        <v>0.24234541427460393</v>
      </c>
      <c r="F80">
        <f t="shared" ref="F80:F81" si="129">D80*0.59/1000</f>
        <v>7.0090095304909963E-2</v>
      </c>
      <c r="G80" s="2" t="s">
        <v>146</v>
      </c>
      <c r="H80">
        <v>934</v>
      </c>
      <c r="I80">
        <v>10</v>
      </c>
      <c r="J80">
        <f>IF(H80=0,0,(H80-$J$57)/$I$57)*I80</f>
        <v>133.72817340271331</v>
      </c>
      <c r="K80">
        <f t="shared" ref="K80:K81" si="130">2.04*J80/1000</f>
        <v>0.27280547374153513</v>
      </c>
      <c r="L80">
        <f t="shared" ref="L80:L81" si="131">J80*0.59/1000</f>
        <v>7.889962230760085E-2</v>
      </c>
    </row>
    <row r="81" spans="1:12" x14ac:dyDescent="0.25">
      <c r="A81" s="2" t="s">
        <v>147</v>
      </c>
      <c r="B81">
        <v>667</v>
      </c>
      <c r="C81">
        <v>10</v>
      </c>
      <c r="D81">
        <f>IF(B81=0,0,(B81-$J$58)/$I$58)*C81</f>
        <v>87.824981762154522</v>
      </c>
      <c r="E81">
        <f t="shared" si="128"/>
        <v>0.17916296279479521</v>
      </c>
      <c r="F81">
        <f t="shared" si="129"/>
        <v>5.1816739239671165E-2</v>
      </c>
      <c r="G81" s="2" t="s">
        <v>147</v>
      </c>
      <c r="H81">
        <v>1000</v>
      </c>
      <c r="I81">
        <v>10</v>
      </c>
      <c r="J81">
        <f>IF(H81=0,0,(H81-$J$58)/$I$58)*I81</f>
        <v>121.39895628062999</v>
      </c>
      <c r="K81">
        <f t="shared" si="130"/>
        <v>0.24765387081248519</v>
      </c>
      <c r="L81">
        <f t="shared" si="131"/>
        <v>7.1625384205571685E-2</v>
      </c>
    </row>
    <row r="82" spans="1:12" x14ac:dyDescent="0.25">
      <c r="A82" s="2" t="s">
        <v>148</v>
      </c>
      <c r="B82">
        <v>618</v>
      </c>
      <c r="C82">
        <v>10</v>
      </c>
      <c r="D82">
        <f>IF(B82=0,0,(B82-$J$59)/$I$59)*C82</f>
        <v>76.236153901268693</v>
      </c>
      <c r="E82">
        <f t="shared" ref="E82" si="132">2.21*D82/1000</f>
        <v>0.16848190012180381</v>
      </c>
      <c r="F82">
        <f t="shared" ref="F82" si="133">D82*0.62/1000</f>
        <v>4.7266415418786588E-2</v>
      </c>
      <c r="G82" s="2" t="s">
        <v>148</v>
      </c>
      <c r="H82">
        <v>635</v>
      </c>
      <c r="I82">
        <v>10</v>
      </c>
      <c r="J82">
        <f>IF(H82=0,0,(H82-$J$59)/$I$59)*I82</f>
        <v>77.848821379953222</v>
      </c>
      <c r="K82">
        <f t="shared" ref="K82" si="134">2.21*J82/1000</f>
        <v>0.17204589524969663</v>
      </c>
      <c r="L82">
        <f t="shared" ref="L82" si="135">J82*0.62/1000</f>
        <v>4.8266269255570995E-2</v>
      </c>
    </row>
    <row r="83" spans="1:12" x14ac:dyDescent="0.25">
      <c r="A83" s="2" t="s">
        <v>149</v>
      </c>
      <c r="B83">
        <v>0</v>
      </c>
      <c r="C83">
        <v>10</v>
      </c>
      <c r="D83">
        <f>IF(B83=0,0,(B83-$J$60)/$I$60)*C83</f>
        <v>0</v>
      </c>
      <c r="E83">
        <f t="shared" ref="E83" si="136">2.34*D83/1000</f>
        <v>0</v>
      </c>
      <c r="F83">
        <f t="shared" ref="F83" si="137">D83*0.65/1000</f>
        <v>0</v>
      </c>
      <c r="G83" s="2" t="s">
        <v>149</v>
      </c>
      <c r="H83">
        <v>0</v>
      </c>
      <c r="I83">
        <v>10</v>
      </c>
      <c r="J83">
        <f>IF(H83=0,0,(H83-$J$60)/$I$60)*I83</f>
        <v>0</v>
      </c>
      <c r="K83">
        <f t="shared" ref="K83" si="138">2.34*J83/1000</f>
        <v>0</v>
      </c>
      <c r="L83">
        <f t="shared" ref="L83" si="139">J83*0.65/1000</f>
        <v>0</v>
      </c>
    </row>
    <row r="84" spans="1:12" x14ac:dyDescent="0.25">
      <c r="B84" s="2" t="s">
        <v>171</v>
      </c>
      <c r="C84" s="2"/>
      <c r="D84" s="2">
        <f t="shared" ref="D84:F84" si="140">SUM(D76:D83)</f>
        <v>7719.4166633096011</v>
      </c>
      <c r="E84" s="2">
        <f t="shared" si="140"/>
        <v>10.165010148617037</v>
      </c>
      <c r="F84" s="2">
        <f t="shared" si="140"/>
        <v>3.4614525975227943</v>
      </c>
      <c r="H84" s="2" t="s">
        <v>171</v>
      </c>
      <c r="I84" s="2"/>
      <c r="J84" s="2">
        <f t="shared" ref="J84:L84" si="141">SUM(J76:J83)</f>
        <v>7685.8505529855938</v>
      </c>
      <c r="K84" s="2">
        <f t="shared" si="141"/>
        <v>10.281783441004913</v>
      </c>
      <c r="L84" s="2">
        <f t="shared" si="141"/>
        <v>3.4756471703295788</v>
      </c>
    </row>
    <row r="86" spans="1:12" x14ac:dyDescent="0.25">
      <c r="A86" s="2" t="s">
        <v>165</v>
      </c>
      <c r="B86" s="2" t="s">
        <v>72</v>
      </c>
      <c r="C86" s="2"/>
      <c r="G86" s="2" t="s">
        <v>165</v>
      </c>
      <c r="H86" s="2" t="s">
        <v>73</v>
      </c>
      <c r="I86" s="2"/>
      <c r="L86" s="2"/>
    </row>
    <row r="87" spans="1:12" x14ac:dyDescent="0.25">
      <c r="A87" s="2" t="s">
        <v>160</v>
      </c>
      <c r="B87" s="2" t="s">
        <v>166</v>
      </c>
      <c r="C87" s="2" t="s">
        <v>167</v>
      </c>
      <c r="D87" s="2" t="s">
        <v>168</v>
      </c>
      <c r="E87" s="2" t="s">
        <v>169</v>
      </c>
      <c r="F87" s="2" t="s">
        <v>170</v>
      </c>
      <c r="G87" s="2" t="s">
        <v>160</v>
      </c>
      <c r="H87" s="2" t="s">
        <v>166</v>
      </c>
      <c r="I87" s="2" t="s">
        <v>167</v>
      </c>
      <c r="J87" s="2" t="s">
        <v>168</v>
      </c>
      <c r="K87" s="2" t="s">
        <v>169</v>
      </c>
      <c r="L87" s="2" t="s">
        <v>170</v>
      </c>
    </row>
    <row r="88" spans="1:12" x14ac:dyDescent="0.25">
      <c r="A88" s="2" t="s">
        <v>142</v>
      </c>
      <c r="B88">
        <v>20492</v>
      </c>
      <c r="C88">
        <v>10</v>
      </c>
      <c r="D88">
        <f>IF(B88=0,0,(B88-$J$53)/$I$53)*C88</f>
        <v>5240.5309608783946</v>
      </c>
      <c r="E88">
        <f t="shared" ref="E88" si="142">1.07*D88/1000</f>
        <v>5.6073681281398819</v>
      </c>
      <c r="F88">
        <f t="shared" ref="F88" si="143">D88*0.4/1000</f>
        <v>2.0962123843513578</v>
      </c>
      <c r="G88" s="2" t="s">
        <v>142</v>
      </c>
      <c r="H88">
        <v>21833</v>
      </c>
      <c r="I88">
        <v>10</v>
      </c>
      <c r="J88">
        <f>IF(H88=0,0,(H88-$J$53)/$I$53)*I88</f>
        <v>5583.4776574720909</v>
      </c>
      <c r="K88">
        <f t="shared" ref="K88" si="144">1.07*J88/1000</f>
        <v>5.9743210934951376</v>
      </c>
      <c r="L88">
        <f t="shared" ref="L88" si="145">J88*0.4/1000</f>
        <v>2.2333910629888365</v>
      </c>
    </row>
    <row r="89" spans="1:12" x14ac:dyDescent="0.25">
      <c r="A89" s="2" t="s">
        <v>143</v>
      </c>
      <c r="B89">
        <v>7793</v>
      </c>
      <c r="C89">
        <v>10</v>
      </c>
      <c r="D89">
        <f>IF(B89=0,0,(B89-$J$54)/$I$54)*C89</f>
        <v>1179.6337704074599</v>
      </c>
      <c r="E89">
        <f t="shared" ref="E89" si="146">1.51*D89/1000</f>
        <v>1.7812469933152646</v>
      </c>
      <c r="F89">
        <f t="shared" ref="F89" si="147">D89*0.49/1000</f>
        <v>0.57802054749965537</v>
      </c>
      <c r="G89" s="2" t="s">
        <v>143</v>
      </c>
      <c r="H89">
        <v>8715</v>
      </c>
      <c r="I89">
        <v>10</v>
      </c>
      <c r="J89">
        <f>IF(H89=0,0,(H89-$J$54)/$I$54)*I89</f>
        <v>1318.3796991110426</v>
      </c>
      <c r="K89">
        <f t="shared" ref="K89" si="148">1.51*J89/1000</f>
        <v>1.9907533456576743</v>
      </c>
      <c r="L89">
        <f t="shared" ref="L89" si="149">J89*0.49/1000</f>
        <v>0.6460060525644109</v>
      </c>
    </row>
    <row r="90" spans="1:12" x14ac:dyDescent="0.25">
      <c r="A90" s="2" t="s">
        <v>144</v>
      </c>
      <c r="B90">
        <v>298</v>
      </c>
      <c r="C90">
        <v>10</v>
      </c>
      <c r="D90">
        <f>IF(B90=0,0,(B90-$J$55)/$I$55)*C90</f>
        <v>57.889162063227566</v>
      </c>
      <c r="E90">
        <f t="shared" ref="E90:E91" si="150">1.82*D90/1000</f>
        <v>0.10535827495507417</v>
      </c>
      <c r="F90">
        <f t="shared" ref="F90:F91" si="151">D90*0.54/1000</f>
        <v>3.1260147514142883E-2</v>
      </c>
      <c r="G90" s="2" t="s">
        <v>144</v>
      </c>
      <c r="H90">
        <v>342</v>
      </c>
      <c r="I90">
        <v>10</v>
      </c>
      <c r="J90">
        <f>IF(H90=0,0,(H90-$J$55)/$I$55)*I90</f>
        <v>63.395415996900695</v>
      </c>
      <c r="K90">
        <f t="shared" ref="K90:K91" si="152">1.82*J90/1000</f>
        <v>0.11537965711435928</v>
      </c>
      <c r="L90">
        <f t="shared" ref="L90:L91" si="153">J90*0.54/1000</f>
        <v>3.4233524638326379E-2</v>
      </c>
    </row>
    <row r="91" spans="1:12" x14ac:dyDescent="0.25">
      <c r="A91" s="2" t="s">
        <v>145</v>
      </c>
      <c r="B91">
        <v>11336</v>
      </c>
      <c r="C91">
        <v>10</v>
      </c>
      <c r="D91">
        <f>IF(B91=0,0,(B91-$J$56)/$I$56)*C91</f>
        <v>1302.9678159910181</v>
      </c>
      <c r="E91">
        <f t="shared" si="150"/>
        <v>2.3714014251036533</v>
      </c>
      <c r="F91">
        <f t="shared" si="151"/>
        <v>0.70360262063514978</v>
      </c>
      <c r="G91" s="2" t="s">
        <v>145</v>
      </c>
      <c r="H91">
        <v>11150</v>
      </c>
      <c r="I91">
        <v>10</v>
      </c>
      <c r="J91">
        <f>IF(H91=0,0,(H91-$J$56)/$I$56)*I91</f>
        <v>1281.4645648257238</v>
      </c>
      <c r="K91">
        <f t="shared" si="152"/>
        <v>2.3322655079828172</v>
      </c>
      <c r="L91">
        <f t="shared" si="153"/>
        <v>0.69199086500589091</v>
      </c>
    </row>
    <row r="92" spans="1:12" x14ac:dyDescent="0.25">
      <c r="A92" s="2" t="s">
        <v>146</v>
      </c>
      <c r="B92">
        <v>187</v>
      </c>
      <c r="C92">
        <v>10</v>
      </c>
      <c r="D92">
        <f>IF(B92=0,0,(B92-$J$57)/$I$57)*C92</f>
        <v>54.058480049080131</v>
      </c>
      <c r="E92">
        <f t="shared" ref="E92:E93" si="154">2.04*D92/1000</f>
        <v>0.11027929930012347</v>
      </c>
      <c r="F92">
        <f t="shared" ref="F92:F93" si="155">D92*0.59/1000</f>
        <v>3.1894503228957274E-2</v>
      </c>
      <c r="G92" s="2" t="s">
        <v>146</v>
      </c>
      <c r="H92">
        <v>188</v>
      </c>
      <c r="I92">
        <v>10</v>
      </c>
      <c r="J92">
        <f>IF(H92=0,0,(H92-$J$57)/$I$57)*I92</f>
        <v>54.165132918362104</v>
      </c>
      <c r="K92">
        <f t="shared" ref="K92:K93" si="156">2.04*J92/1000</f>
        <v>0.1104968711534587</v>
      </c>
      <c r="L92">
        <f t="shared" ref="L92:L93" si="157">J92*0.59/1000</f>
        <v>3.195742842183364E-2</v>
      </c>
    </row>
    <row r="93" spans="1:12" x14ac:dyDescent="0.25">
      <c r="A93" s="2" t="s">
        <v>147</v>
      </c>
      <c r="B93">
        <v>3332</v>
      </c>
      <c r="C93">
        <v>10</v>
      </c>
      <c r="D93">
        <f>IF(B93=0,0,(B93-$J$58)/$I$58)*C93</f>
        <v>356.51760065626002</v>
      </c>
      <c r="E93">
        <f t="shared" si="154"/>
        <v>0.72729590533877042</v>
      </c>
      <c r="F93">
        <f t="shared" si="155"/>
        <v>0.21034538438719341</v>
      </c>
      <c r="G93" s="2" t="s">
        <v>147</v>
      </c>
      <c r="H93">
        <v>3571</v>
      </c>
      <c r="I93">
        <v>10</v>
      </c>
      <c r="J93">
        <f>IF(H93=0,0,(H93-$J$58)/$I$58)*I93</f>
        <v>380.61423702237306</v>
      </c>
      <c r="K93">
        <f t="shared" si="156"/>
        <v>0.77645304352564104</v>
      </c>
      <c r="L93">
        <f t="shared" si="157"/>
        <v>0.22456239984320009</v>
      </c>
    </row>
    <row r="94" spans="1:12" x14ac:dyDescent="0.25">
      <c r="A94" s="2" t="s">
        <v>148</v>
      </c>
      <c r="B94">
        <v>6847</v>
      </c>
      <c r="C94">
        <v>10</v>
      </c>
      <c r="D94">
        <f>IF(B94=0,0,(B94-$J$59)/$I$59)*C94</f>
        <v>667.13649064985361</v>
      </c>
      <c r="E94">
        <f t="shared" ref="E94" si="158">2.21*D94/1000</f>
        <v>1.4743716443361763</v>
      </c>
      <c r="F94">
        <f t="shared" ref="F94" si="159">D94*0.62/1000</f>
        <v>0.41362462420290924</v>
      </c>
      <c r="G94" s="2" t="s">
        <v>148</v>
      </c>
      <c r="H94">
        <v>6825</v>
      </c>
      <c r="I94">
        <v>10</v>
      </c>
      <c r="J94">
        <f>IF(H94=0,0,(H94-$J$59)/$I$59)*I94</f>
        <v>665.04950920685008</v>
      </c>
      <c r="K94">
        <f t="shared" ref="K94" si="160">2.21*J94/1000</f>
        <v>1.4697594153471387</v>
      </c>
      <c r="L94">
        <f t="shared" ref="L94" si="161">J94*0.62/1000</f>
        <v>0.41233069570824704</v>
      </c>
    </row>
    <row r="95" spans="1:12" x14ac:dyDescent="0.25">
      <c r="A95" s="2" t="s">
        <v>149</v>
      </c>
      <c r="B95">
        <v>1084</v>
      </c>
      <c r="C95">
        <v>10</v>
      </c>
      <c r="D95">
        <f>IF(B95=0,0,(B95-$J$60)/$I$60)*C95</f>
        <v>126.59414981489711</v>
      </c>
      <c r="E95">
        <f t="shared" ref="E95" si="162">2.34*D95/1000</f>
        <v>0.29623031056685922</v>
      </c>
      <c r="F95">
        <f t="shared" ref="F95" si="163">D95*0.65/1000</f>
        <v>8.228619737968311E-2</v>
      </c>
      <c r="G95" s="2" t="s">
        <v>149</v>
      </c>
      <c r="H95">
        <v>1169</v>
      </c>
      <c r="I95">
        <v>10</v>
      </c>
      <c r="J95">
        <f>IF(H95=0,0,(H95-$J$60)/$I$60)*I95</f>
        <v>134.13850818028041</v>
      </c>
      <c r="K95">
        <f t="shared" ref="K95" si="164">2.34*J95/1000</f>
        <v>0.3138841091418561</v>
      </c>
      <c r="L95">
        <f t="shared" ref="L95" si="165">J95*0.65/1000</f>
        <v>8.7190030317182282E-2</v>
      </c>
    </row>
    <row r="96" spans="1:12" x14ac:dyDescent="0.25">
      <c r="B96" s="2" t="s">
        <v>171</v>
      </c>
      <c r="C96" s="2"/>
      <c r="D96" s="2">
        <f t="shared" ref="D96:F96" si="166">SUM(D88:D95)</f>
        <v>8985.3284305101915</v>
      </c>
      <c r="E96" s="2">
        <f t="shared" si="166"/>
        <v>12.473551981055804</v>
      </c>
      <c r="F96" s="2">
        <f t="shared" si="166"/>
        <v>4.1472464091990489</v>
      </c>
      <c r="H96" s="2" t="s">
        <v>171</v>
      </c>
      <c r="I96" s="2"/>
      <c r="J96" s="2">
        <f t="shared" ref="J96:L96" si="167">SUM(J88:J95)</f>
        <v>9480.6847247336245</v>
      </c>
      <c r="K96" s="2">
        <f t="shared" si="167"/>
        <v>13.083313043418084</v>
      </c>
      <c r="L96" s="2">
        <f t="shared" si="167"/>
        <v>4.3616620594879283</v>
      </c>
    </row>
    <row r="98" spans="1:12" x14ac:dyDescent="0.25">
      <c r="A98" s="2"/>
      <c r="B98" s="2"/>
      <c r="C98" s="2"/>
      <c r="G98" s="2"/>
      <c r="H98" s="2"/>
      <c r="I98" s="2"/>
      <c r="L98" s="2"/>
    </row>
    <row r="99" spans="1:12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 x14ac:dyDescent="0.25">
      <c r="A100" s="2"/>
      <c r="G100" s="2"/>
    </row>
    <row r="101" spans="1:12" x14ac:dyDescent="0.25">
      <c r="A101" s="2"/>
      <c r="G101" s="2"/>
    </row>
    <row r="102" spans="1:12" x14ac:dyDescent="0.25">
      <c r="A102" s="2"/>
      <c r="G102" s="2"/>
    </row>
    <row r="103" spans="1:12" x14ac:dyDescent="0.25">
      <c r="A103" s="2"/>
      <c r="G103" s="2"/>
    </row>
    <row r="104" spans="1:12" x14ac:dyDescent="0.25">
      <c r="A104" s="2"/>
      <c r="G104" s="2"/>
    </row>
    <row r="105" spans="1:12" x14ac:dyDescent="0.25">
      <c r="A105" s="2"/>
      <c r="G105" s="2"/>
    </row>
    <row r="106" spans="1:12" x14ac:dyDescent="0.25">
      <c r="A106" s="2"/>
      <c r="G106" s="2"/>
    </row>
    <row r="107" spans="1:12" x14ac:dyDescent="0.25">
      <c r="A107" s="2"/>
      <c r="G107" s="2"/>
    </row>
    <row r="108" spans="1:12" x14ac:dyDescent="0.25">
      <c r="B108" s="2"/>
      <c r="C108" s="2"/>
      <c r="D108" s="2"/>
      <c r="E108" s="2"/>
      <c r="F108" s="2"/>
      <c r="H108" s="2"/>
      <c r="I108" s="2"/>
      <c r="J108" s="2"/>
      <c r="K108" s="2"/>
      <c r="L108" s="2"/>
    </row>
    <row r="110" spans="1:12" x14ac:dyDescent="0.25">
      <c r="A110" s="2"/>
      <c r="B110" s="2"/>
      <c r="C110" s="2"/>
      <c r="G110" s="2"/>
      <c r="H110" s="2"/>
      <c r="I110" s="2"/>
      <c r="L110" s="2"/>
    </row>
    <row r="111" spans="1:12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 x14ac:dyDescent="0.25">
      <c r="A112" s="2"/>
      <c r="G112" s="2"/>
    </row>
    <row r="113" spans="1:12" x14ac:dyDescent="0.25">
      <c r="A113" s="2"/>
      <c r="G113" s="2"/>
    </row>
    <row r="114" spans="1:12" x14ac:dyDescent="0.25">
      <c r="A114" s="2"/>
      <c r="G114" s="2"/>
    </row>
    <row r="115" spans="1:12" x14ac:dyDescent="0.25">
      <c r="A115" s="2"/>
      <c r="G115" s="2"/>
    </row>
    <row r="116" spans="1:12" x14ac:dyDescent="0.25">
      <c r="A116" s="2"/>
      <c r="G116" s="2"/>
    </row>
    <row r="117" spans="1:12" x14ac:dyDescent="0.25">
      <c r="A117" s="2"/>
      <c r="G117" s="2"/>
    </row>
    <row r="118" spans="1:12" x14ac:dyDescent="0.25">
      <c r="A118" s="2"/>
      <c r="G118" s="2"/>
    </row>
    <row r="119" spans="1:12" x14ac:dyDescent="0.25">
      <c r="A119" s="2"/>
      <c r="G119" s="2"/>
    </row>
    <row r="120" spans="1:12" x14ac:dyDescent="0.25">
      <c r="B120" s="2"/>
      <c r="C120" s="2"/>
      <c r="D120" s="2"/>
      <c r="E120" s="2"/>
      <c r="F120" s="2"/>
      <c r="H120" s="2"/>
      <c r="I120" s="2"/>
      <c r="J120" s="2"/>
      <c r="K120" s="2"/>
      <c r="L120" s="2"/>
    </row>
    <row r="122" spans="1:12" x14ac:dyDescent="0.25">
      <c r="A122" s="2"/>
      <c r="B122" s="2"/>
      <c r="C122" s="2"/>
      <c r="G122" s="2"/>
      <c r="H122" s="2"/>
      <c r="I122" s="2"/>
      <c r="L122" s="2"/>
    </row>
    <row r="123" spans="1:12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1:12" x14ac:dyDescent="0.25">
      <c r="A124" s="2"/>
      <c r="G124" s="2"/>
    </row>
    <row r="125" spans="1:12" x14ac:dyDescent="0.25">
      <c r="A125" s="2"/>
      <c r="G125" s="2"/>
    </row>
  </sheetData>
  <pageMargins left="0.7" right="0.7" top="0.75" bottom="0.75" header="0.3" footer="0.3"/>
  <pageSetup paperSize="9" orientation="portrait" verticalDpi="0" r:id="rId1"/>
  <headerFooter>
    <oddHeader>&amp;R&amp;"Calibri"&amp;10&amp;K000000 PUBLIC / CYHOEDDUS&amp;1#_x000D_</oddHeader>
  </headerFooter>
  <drawing r:id="rId2"/>
</worksheet>
</file>

<file path=docMetadata/LabelInfo.xml><?xml version="1.0" encoding="utf-8"?>
<clbl:labelList xmlns:clbl="http://schemas.microsoft.com/office/2020/mipLabelMetadata">
  <clbl:label id="{553f0066-c24e-444c-9c2a-7427c31ebeab}" enabled="1" method="Standard" siteId="{e5aafe7c-971b-4ab7-b039-141ad36acec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setup</vt:lpstr>
      <vt:lpstr>pH </vt:lpstr>
      <vt:lpstr>mass balance</vt:lpstr>
      <vt:lpstr>alkalinity</vt:lpstr>
      <vt:lpstr>TS VS</vt:lpstr>
      <vt:lpstr>VFA summary</vt:lpstr>
      <vt:lpstr>VFA day 2</vt:lpstr>
      <vt:lpstr>VFA day 4</vt:lpstr>
      <vt:lpstr>VFA day 6</vt:lpstr>
      <vt:lpstr>VFA day 8</vt:lpstr>
      <vt:lpstr>TOC std day 4</vt:lpstr>
      <vt:lpstr>TOC day 4</vt:lpstr>
      <vt:lpstr>TOC std day 8</vt:lpstr>
      <vt:lpstr>TOC day 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Ramos Suarez</dc:creator>
  <cp:keywords/>
  <dc:description/>
  <cp:lastModifiedBy>Maria Ramos Suarez</cp:lastModifiedBy>
  <cp:revision/>
  <dcterms:created xsi:type="dcterms:W3CDTF">2015-06-05T18:17:20Z</dcterms:created>
  <dcterms:modified xsi:type="dcterms:W3CDTF">2024-10-28T19:05:27Z</dcterms:modified>
  <cp:category/>
  <cp:contentStatus/>
</cp:coreProperties>
</file>